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C5DB" lockStructure="1"/>
  <bookViews>
    <workbookView xWindow="10245" yWindow="165" windowWidth="10290" windowHeight="7935" activeTab="15"/>
  </bookViews>
  <sheets>
    <sheet name="SET SP Sta.Mría" sheetId="1" r:id="rId1"/>
    <sheet name="01" sheetId="55" r:id="rId2"/>
    <sheet name="02" sheetId="56" r:id="rId3"/>
    <sheet name="03" sheetId="60" r:id="rId4"/>
    <sheet name="04" sheetId="61" r:id="rId5"/>
    <sheet name="05" sheetId="62" r:id="rId6"/>
    <sheet name="06" sheetId="36" r:id="rId7"/>
    <sheet name="07" sheetId="38" r:id="rId8"/>
    <sheet name="08" sheetId="58" r:id="rId9"/>
    <sheet name="09" sheetId="59" r:id="rId10"/>
    <sheet name="10" sheetId="63" r:id="rId11"/>
    <sheet name="11" sheetId="64" r:id="rId12"/>
    <sheet name="12" sheetId="65" r:id="rId13"/>
    <sheet name="13" sheetId="68" r:id="rId14"/>
    <sheet name="14" sheetId="66" r:id="rId15"/>
    <sheet name="STA MARIA-18" sheetId="69" r:id="rId16"/>
  </sheets>
  <definedNames>
    <definedName name="_xlnm.Print_Area" localSheetId="15">'STA MARIA-18'!$A$1:$I$95</definedName>
    <definedName name="_xlnm.Print_Titles" localSheetId="0">'SET SP Sta.Mría'!$1:$5</definedName>
  </definedNames>
  <calcPr calcId="144525"/>
</workbook>
</file>

<file path=xl/calcChain.xml><?xml version="1.0" encoding="utf-8"?>
<calcChain xmlns="http://schemas.openxmlformats.org/spreadsheetml/2006/main">
  <c r="O23" i="69" l="1"/>
  <c r="O21" i="69"/>
  <c r="O17" i="69"/>
  <c r="O15" i="69"/>
  <c r="O22" i="69"/>
  <c r="O20" i="69"/>
  <c r="O16" i="69"/>
  <c r="O14" i="69"/>
  <c r="N67" i="69" l="1"/>
  <c r="N21" i="69"/>
  <c r="N25" i="69"/>
  <c r="N23" i="69"/>
  <c r="N17" i="69"/>
  <c r="N15" i="69"/>
  <c r="N24" i="69"/>
  <c r="N22" i="69"/>
  <c r="N20" i="69"/>
  <c r="N16" i="69"/>
  <c r="N14" i="69"/>
  <c r="M23" i="69" l="1"/>
  <c r="M21" i="69"/>
  <c r="M17" i="69"/>
  <c r="M15" i="69"/>
  <c r="M18" i="69"/>
  <c r="M14" i="69"/>
  <c r="M24" i="69"/>
  <c r="M22" i="69"/>
  <c r="M20" i="69"/>
  <c r="M16" i="69"/>
  <c r="L23" i="69" l="1"/>
  <c r="L21" i="69"/>
  <c r="L17" i="69"/>
  <c r="L15" i="69"/>
  <c r="L24" i="69"/>
  <c r="L22" i="69"/>
  <c r="L20" i="69"/>
  <c r="L16" i="69"/>
  <c r="L14" i="69"/>
  <c r="K54" i="69" l="1"/>
  <c r="K21" i="69" l="1"/>
  <c r="K23" i="69"/>
  <c r="K17" i="69"/>
  <c r="K15" i="69"/>
  <c r="K24" i="69"/>
  <c r="K22" i="69"/>
  <c r="K20" i="69"/>
  <c r="K16" i="69"/>
  <c r="K14" i="69"/>
  <c r="J23" i="69" l="1"/>
  <c r="J21" i="69"/>
  <c r="J17" i="69"/>
  <c r="J15" i="69"/>
  <c r="J24" i="69"/>
  <c r="J22" i="69"/>
  <c r="J20" i="69"/>
  <c r="J16" i="69"/>
  <c r="J14" i="69" l="1"/>
  <c r="I23" i="69" l="1"/>
  <c r="I21" i="69"/>
  <c r="I17" i="69"/>
  <c r="I15" i="69"/>
  <c r="I24" i="69"/>
  <c r="I22" i="69"/>
  <c r="I20" i="69"/>
  <c r="I16" i="69"/>
  <c r="I14" i="69"/>
  <c r="H23" i="69" l="1"/>
  <c r="H21" i="69"/>
  <c r="H47" i="69" s="1"/>
  <c r="H17" i="69"/>
  <c r="H15" i="69"/>
  <c r="H24" i="69"/>
  <c r="H22" i="69"/>
  <c r="H20" i="69"/>
  <c r="H16" i="69"/>
  <c r="H14" i="69"/>
  <c r="H61" i="69" l="1"/>
  <c r="G23" i="69"/>
  <c r="G21" i="69"/>
  <c r="G17" i="69"/>
  <c r="G15" i="69"/>
  <c r="F25" i="69"/>
  <c r="F23" i="69"/>
  <c r="F21" i="69"/>
  <c r="F17" i="69"/>
  <c r="F15" i="69"/>
  <c r="G24" i="69"/>
  <c r="G22" i="69"/>
  <c r="G20" i="69"/>
  <c r="G16" i="69"/>
  <c r="G14" i="69"/>
  <c r="F24" i="69"/>
  <c r="F22" i="69"/>
  <c r="F20" i="69"/>
  <c r="F16" i="69"/>
  <c r="F14" i="69"/>
  <c r="F47" i="69" l="1"/>
  <c r="F61" i="69"/>
  <c r="G61" i="69"/>
  <c r="G47" i="69"/>
  <c r="E23" i="69"/>
  <c r="E21" i="69"/>
  <c r="E17" i="69"/>
  <c r="E15" i="69"/>
  <c r="D23" i="69"/>
  <c r="D21" i="69"/>
  <c r="D17" i="69"/>
  <c r="D15" i="69"/>
  <c r="E24" i="69"/>
  <c r="E22" i="69"/>
  <c r="E20" i="69"/>
  <c r="E16" i="69"/>
  <c r="E47" i="69" l="1"/>
  <c r="E61" i="69"/>
  <c r="E18" i="69"/>
  <c r="E14" i="69"/>
  <c r="D27" i="69"/>
  <c r="D31" i="69"/>
  <c r="D24" i="69"/>
  <c r="D22" i="69"/>
  <c r="D20" i="69"/>
  <c r="D18" i="69"/>
  <c r="D30" i="69" s="1"/>
  <c r="D16" i="69"/>
  <c r="D14" i="69"/>
  <c r="D29" i="69" l="1"/>
  <c r="D33" i="69" s="1"/>
  <c r="D28" i="69"/>
  <c r="D26" i="69"/>
  <c r="E31" i="69"/>
  <c r="E30" i="69"/>
  <c r="E28" i="69"/>
  <c r="E29" i="69"/>
  <c r="E27" i="69"/>
  <c r="E26" i="69"/>
  <c r="C17" i="59"/>
  <c r="D32" i="69" l="1"/>
  <c r="E32" i="69"/>
  <c r="E33" i="69"/>
  <c r="G26" i="69" l="1"/>
  <c r="G27" i="69"/>
  <c r="G28" i="69"/>
  <c r="G29" i="69"/>
  <c r="G30" i="69"/>
  <c r="G31" i="69"/>
  <c r="E68" i="69"/>
  <c r="F68" i="69"/>
  <c r="G68" i="69"/>
  <c r="H68" i="69"/>
  <c r="I68" i="69"/>
  <c r="J68" i="69"/>
  <c r="K68" i="69"/>
  <c r="L68" i="69"/>
  <c r="M68" i="69"/>
  <c r="N68" i="69"/>
  <c r="E69" i="69"/>
  <c r="F69" i="69"/>
  <c r="G69" i="69"/>
  <c r="H69" i="69"/>
  <c r="I69" i="69"/>
  <c r="J69" i="69"/>
  <c r="K69" i="69"/>
  <c r="L69" i="69"/>
  <c r="M69" i="69"/>
  <c r="N69" i="69"/>
  <c r="O69" i="69"/>
  <c r="O68" i="69"/>
  <c r="G33" i="69" l="1"/>
  <c r="G32" i="69"/>
  <c r="D17" i="59"/>
  <c r="D18" i="68" l="1"/>
  <c r="E18" i="68"/>
  <c r="F18" i="68"/>
  <c r="G18" i="68"/>
  <c r="H18" i="68"/>
  <c r="I18" i="68"/>
  <c r="J18" i="68"/>
  <c r="K18" i="68"/>
  <c r="L18" i="68"/>
  <c r="M18" i="68"/>
  <c r="N18" i="68"/>
  <c r="C18" i="68"/>
  <c r="D18" i="64"/>
  <c r="E18" i="64"/>
  <c r="F18" i="64"/>
  <c r="G18" i="64"/>
  <c r="H18" i="64"/>
  <c r="I18" i="64"/>
  <c r="J18" i="64"/>
  <c r="K18" i="64"/>
  <c r="L18" i="64"/>
  <c r="M18" i="64"/>
  <c r="N18" i="64"/>
  <c r="C18" i="64"/>
  <c r="D18" i="58"/>
  <c r="E18" i="58"/>
  <c r="F18" i="58"/>
  <c r="G18" i="58"/>
  <c r="H18" i="58"/>
  <c r="I18" i="58"/>
  <c r="J18" i="58"/>
  <c r="K18" i="58"/>
  <c r="L18" i="58"/>
  <c r="M18" i="58"/>
  <c r="N18" i="58"/>
  <c r="C18" i="58"/>
  <c r="F18" i="56"/>
  <c r="G37" i="69"/>
  <c r="F18" i="60" s="1"/>
  <c r="K18" i="63" l="1"/>
  <c r="L18" i="63"/>
  <c r="M18" i="63"/>
  <c r="N18" i="63"/>
  <c r="K19" i="63"/>
  <c r="L19" i="63"/>
  <c r="M19" i="63"/>
  <c r="N19" i="63"/>
  <c r="E17" i="59"/>
  <c r="F17" i="59"/>
  <c r="G17" i="59"/>
  <c r="H17" i="59"/>
  <c r="I17" i="59"/>
  <c r="J17" i="59"/>
  <c r="K17" i="59"/>
  <c r="L17" i="59"/>
  <c r="M17" i="59"/>
  <c r="N17" i="59"/>
  <c r="D18" i="38"/>
  <c r="E18" i="38"/>
  <c r="F18" i="38"/>
  <c r="G18" i="38"/>
  <c r="H18" i="38"/>
  <c r="I18" i="38"/>
  <c r="J18" i="38"/>
  <c r="K18" i="38"/>
  <c r="L18" i="38"/>
  <c r="M18" i="38"/>
  <c r="N18" i="38"/>
  <c r="C18" i="38"/>
  <c r="K18" i="36"/>
  <c r="K19" i="68" s="1"/>
  <c r="L18" i="36"/>
  <c r="L19" i="68" s="1"/>
  <c r="M18" i="36"/>
  <c r="M19" i="68" s="1"/>
  <c r="N18" i="36"/>
  <c r="N19" i="68" s="1"/>
  <c r="K18" i="62"/>
  <c r="K19" i="58" s="1"/>
  <c r="L18" i="62"/>
  <c r="L19" i="58" s="1"/>
  <c r="M18" i="62"/>
  <c r="M19" i="58" s="1"/>
  <c r="N18" i="62"/>
  <c r="N19" i="58" s="1"/>
  <c r="K19" i="62"/>
  <c r="K19" i="36" s="1"/>
  <c r="L19" i="62"/>
  <c r="L19" i="36" s="1"/>
  <c r="M19" i="62"/>
  <c r="M19" i="36" s="1"/>
  <c r="N19" i="62"/>
  <c r="N19" i="36" s="1"/>
  <c r="O18" i="38" l="1"/>
  <c r="K18" i="55"/>
  <c r="L18" i="55"/>
  <c r="M18" i="55"/>
  <c r="N18" i="55"/>
  <c r="K19" i="55"/>
  <c r="K19" i="60" s="1"/>
  <c r="L19" i="55"/>
  <c r="L19" i="60" s="1"/>
  <c r="M19" i="55"/>
  <c r="M19" i="60" s="1"/>
  <c r="N19" i="55"/>
  <c r="N19" i="60" s="1"/>
  <c r="E55" i="69"/>
  <c r="D19" i="38" s="1"/>
  <c r="D17" i="38" s="1"/>
  <c r="F55" i="69"/>
  <c r="E19" i="38" s="1"/>
  <c r="E17" i="38" s="1"/>
  <c r="G55" i="69"/>
  <c r="F19" i="38" s="1"/>
  <c r="F17" i="38" s="1"/>
  <c r="H55" i="69"/>
  <c r="G19" i="38" s="1"/>
  <c r="G17" i="38" s="1"/>
  <c r="I55" i="69"/>
  <c r="H19" i="38" s="1"/>
  <c r="H17" i="38" s="1"/>
  <c r="J55" i="69"/>
  <c r="I19" i="38" s="1"/>
  <c r="I17" i="38" s="1"/>
  <c r="K55" i="69"/>
  <c r="J19" i="38" s="1"/>
  <c r="J17" i="38" s="1"/>
  <c r="L55" i="69"/>
  <c r="K19" i="38" s="1"/>
  <c r="K19" i="66" s="1"/>
  <c r="M55" i="69"/>
  <c r="L19" i="38" s="1"/>
  <c r="L17" i="38" s="1"/>
  <c r="N55" i="69"/>
  <c r="M19" i="38" s="1"/>
  <c r="M19" i="66" s="1"/>
  <c r="O55" i="69"/>
  <c r="N19" i="38" s="1"/>
  <c r="N17" i="38" s="1"/>
  <c r="D55" i="69"/>
  <c r="C19" i="38" s="1"/>
  <c r="C17" i="38" s="1"/>
  <c r="N19" i="66" l="1"/>
  <c r="N18" i="66" s="1"/>
  <c r="M17" i="38"/>
  <c r="K18" i="66"/>
  <c r="K17" i="66" s="1"/>
  <c r="M18" i="66"/>
  <c r="M17" i="66" s="1"/>
  <c r="L19" i="66"/>
  <c r="K17" i="38"/>
  <c r="O16" i="66"/>
  <c r="C16" i="66" s="1"/>
  <c r="O15" i="66"/>
  <c r="C15" i="66" s="1"/>
  <c r="O16" i="68"/>
  <c r="C16" i="68" s="1"/>
  <c r="O15" i="68"/>
  <c r="C15" i="68" s="1"/>
  <c r="O16" i="65"/>
  <c r="C16" i="65" s="1"/>
  <c r="O15" i="65"/>
  <c r="C15" i="65" s="1"/>
  <c r="O16" i="64"/>
  <c r="C16" i="64" s="1"/>
  <c r="O15" i="64"/>
  <c r="C15" i="64" s="1"/>
  <c r="O16" i="63"/>
  <c r="C16" i="63" s="1"/>
  <c r="O15" i="63"/>
  <c r="C15" i="63" s="1"/>
  <c r="O16" i="59"/>
  <c r="C16" i="59" s="1"/>
  <c r="O15" i="59"/>
  <c r="C15" i="59" s="1"/>
  <c r="O16" i="58"/>
  <c r="C16" i="58" s="1"/>
  <c r="O15" i="58"/>
  <c r="C15" i="58" s="1"/>
  <c r="O16" i="38"/>
  <c r="C16" i="38" s="1"/>
  <c r="O15" i="38"/>
  <c r="C15" i="38" s="1"/>
  <c r="O16" i="36"/>
  <c r="C16" i="36" s="1"/>
  <c r="O15" i="36"/>
  <c r="C15" i="36" s="1"/>
  <c r="O16" i="62"/>
  <c r="C16" i="62" s="1"/>
  <c r="O15" i="62"/>
  <c r="C15" i="62" s="1"/>
  <c r="O16" i="61"/>
  <c r="C16" i="61" s="1"/>
  <c r="O15" i="61"/>
  <c r="C15" i="61" s="1"/>
  <c r="O16" i="60"/>
  <c r="C16" i="60" s="1"/>
  <c r="O15" i="60"/>
  <c r="C15" i="60" s="1"/>
  <c r="O16" i="56"/>
  <c r="C16" i="56" s="1"/>
  <c r="O15" i="56"/>
  <c r="C15" i="56" s="1"/>
  <c r="O16" i="55"/>
  <c r="C16" i="55" s="1"/>
  <c r="O15" i="55"/>
  <c r="C15" i="55" s="1"/>
  <c r="N17" i="66" l="1"/>
  <c r="L18" i="66"/>
  <c r="L17" i="66" s="1"/>
  <c r="J19" i="63"/>
  <c r="I19" i="63"/>
  <c r="H19" i="63"/>
  <c r="G19" i="63"/>
  <c r="F19" i="63"/>
  <c r="E19" i="63"/>
  <c r="D19" i="63"/>
  <c r="C19" i="63"/>
  <c r="J18" i="63"/>
  <c r="I18" i="63"/>
  <c r="H18" i="63"/>
  <c r="G18" i="63"/>
  <c r="F18" i="63"/>
  <c r="E18" i="63"/>
  <c r="D18" i="63"/>
  <c r="C18" i="63"/>
  <c r="J18" i="36"/>
  <c r="I18" i="36"/>
  <c r="H18" i="36"/>
  <c r="G18" i="36"/>
  <c r="F18" i="36"/>
  <c r="E18" i="36"/>
  <c r="D18" i="36"/>
  <c r="C18" i="36"/>
  <c r="J19" i="62"/>
  <c r="I19" i="62"/>
  <c r="H19" i="62"/>
  <c r="C19" i="62"/>
  <c r="J18" i="62"/>
  <c r="J19" i="58" s="1"/>
  <c r="I18" i="62"/>
  <c r="I19" i="58" s="1"/>
  <c r="H18" i="62"/>
  <c r="H19" i="58" s="1"/>
  <c r="G18" i="62"/>
  <c r="G19" i="58" s="1"/>
  <c r="F18" i="62"/>
  <c r="F19" i="58" s="1"/>
  <c r="E18" i="62"/>
  <c r="E19" i="58" s="1"/>
  <c r="D18" i="62"/>
  <c r="D19" i="58" s="1"/>
  <c r="C18" i="62"/>
  <c r="D69" i="69" l="1"/>
  <c r="D68" i="69"/>
  <c r="O63" i="69"/>
  <c r="N63" i="69"/>
  <c r="M63" i="69"/>
  <c r="L63" i="69"/>
  <c r="O62" i="69"/>
  <c r="N62" i="69"/>
  <c r="M62" i="69"/>
  <c r="L62" i="69"/>
  <c r="O61" i="69"/>
  <c r="N61" i="69"/>
  <c r="M61" i="69"/>
  <c r="L61" i="69"/>
  <c r="O60" i="69"/>
  <c r="N60" i="69"/>
  <c r="M60" i="69"/>
  <c r="L60" i="69"/>
  <c r="K60" i="69"/>
  <c r="J60" i="69"/>
  <c r="I60" i="69"/>
  <c r="H60" i="69"/>
  <c r="G60" i="69"/>
  <c r="F60" i="69"/>
  <c r="O59" i="69"/>
  <c r="N59" i="69"/>
  <c r="M59" i="69"/>
  <c r="L59" i="69"/>
  <c r="O58" i="69"/>
  <c r="N58" i="69"/>
  <c r="M58" i="69"/>
  <c r="L58" i="69"/>
  <c r="G58" i="69"/>
  <c r="O57" i="69"/>
  <c r="N57" i="69"/>
  <c r="M57" i="69"/>
  <c r="L57" i="69"/>
  <c r="K57" i="69"/>
  <c r="J57" i="69"/>
  <c r="I57" i="69"/>
  <c r="H57" i="69"/>
  <c r="G57" i="69"/>
  <c r="F57" i="69"/>
  <c r="E57" i="69"/>
  <c r="D57" i="69"/>
  <c r="O54" i="69"/>
  <c r="N54" i="69"/>
  <c r="M54" i="69"/>
  <c r="L54" i="69"/>
  <c r="J54" i="69"/>
  <c r="I54" i="69"/>
  <c r="D54" i="69"/>
  <c r="O53" i="69"/>
  <c r="N53" i="69"/>
  <c r="M53" i="69"/>
  <c r="L53" i="69"/>
  <c r="K53" i="69"/>
  <c r="J53" i="69"/>
  <c r="I53" i="69"/>
  <c r="D53" i="69"/>
  <c r="O47" i="69"/>
  <c r="N47" i="69"/>
  <c r="M47" i="69"/>
  <c r="L47" i="69"/>
  <c r="O46" i="69"/>
  <c r="N46" i="69"/>
  <c r="M46" i="69"/>
  <c r="L46" i="69"/>
  <c r="J46" i="69"/>
  <c r="O44" i="69"/>
  <c r="N44" i="69"/>
  <c r="M44" i="69"/>
  <c r="L44" i="69"/>
  <c r="D44" i="69"/>
  <c r="O43" i="69"/>
  <c r="N43" i="69"/>
  <c r="M43" i="69"/>
  <c r="L43" i="69"/>
  <c r="H43" i="69"/>
  <c r="E42" i="69"/>
  <c r="E45" i="69" s="1"/>
  <c r="D42" i="69"/>
  <c r="D45" i="69" s="1"/>
  <c r="O31" i="69"/>
  <c r="N31" i="69"/>
  <c r="M31" i="69"/>
  <c r="L31" i="69"/>
  <c r="K31" i="69"/>
  <c r="J31" i="69"/>
  <c r="I31" i="69"/>
  <c r="H31" i="69"/>
  <c r="F31" i="69"/>
  <c r="O30" i="69"/>
  <c r="N30" i="69"/>
  <c r="M30" i="69"/>
  <c r="L30" i="69"/>
  <c r="O29" i="69"/>
  <c r="N29" i="69"/>
  <c r="M29" i="69"/>
  <c r="L29" i="69"/>
  <c r="O28" i="69"/>
  <c r="N28" i="69"/>
  <c r="M28" i="69"/>
  <c r="L28" i="69"/>
  <c r="O27" i="69"/>
  <c r="N27" i="69"/>
  <c r="M27" i="69"/>
  <c r="L27" i="69"/>
  <c r="O26" i="69"/>
  <c r="N26" i="69"/>
  <c r="M26" i="69"/>
  <c r="L26" i="69"/>
  <c r="K63" i="69"/>
  <c r="J63" i="69"/>
  <c r="I63" i="69"/>
  <c r="H63" i="69"/>
  <c r="G63" i="69"/>
  <c r="F63" i="69"/>
  <c r="E63" i="69"/>
  <c r="D63" i="69"/>
  <c r="I47" i="69"/>
  <c r="D47" i="69"/>
  <c r="K46" i="69"/>
  <c r="I46" i="69"/>
  <c r="H46" i="69"/>
  <c r="G46" i="69"/>
  <c r="F46" i="69"/>
  <c r="E46" i="69"/>
  <c r="D46" i="69"/>
  <c r="D60" i="69"/>
  <c r="K59" i="69"/>
  <c r="G59" i="69"/>
  <c r="J28" i="69"/>
  <c r="F28" i="69"/>
  <c r="H18" i="55"/>
  <c r="D18" i="55"/>
  <c r="H19" i="55"/>
  <c r="D19" i="55"/>
  <c r="E19" i="62"/>
  <c r="F42" i="69"/>
  <c r="F45" i="69" s="1"/>
  <c r="N19" i="56" l="1"/>
  <c r="L32" i="69"/>
  <c r="K19" i="56"/>
  <c r="N32" i="69"/>
  <c r="M19" i="56"/>
  <c r="N48" i="69"/>
  <c r="M32" i="69"/>
  <c r="L19" i="56"/>
  <c r="M48" i="69"/>
  <c r="N64" i="69"/>
  <c r="N65" i="69"/>
  <c r="N66" i="69"/>
  <c r="F26" i="69"/>
  <c r="E19" i="55"/>
  <c r="F58" i="69"/>
  <c r="E18" i="55"/>
  <c r="F59" i="69"/>
  <c r="D62" i="69"/>
  <c r="H62" i="69"/>
  <c r="K43" i="69"/>
  <c r="J19" i="55"/>
  <c r="K44" i="69"/>
  <c r="J18" i="55"/>
  <c r="I62" i="69"/>
  <c r="C19" i="55"/>
  <c r="H26" i="69"/>
  <c r="G19" i="55"/>
  <c r="C18" i="55"/>
  <c r="H27" i="69"/>
  <c r="H64" i="69" s="1"/>
  <c r="G18" i="55"/>
  <c r="H28" i="69"/>
  <c r="H29" i="69"/>
  <c r="J61" i="69"/>
  <c r="F62" i="69"/>
  <c r="J62" i="69"/>
  <c r="H44" i="69"/>
  <c r="H48" i="69" s="1"/>
  <c r="J47" i="69"/>
  <c r="J49" i="69" s="1"/>
  <c r="O49" i="69"/>
  <c r="J26" i="69"/>
  <c r="I19" i="55"/>
  <c r="J58" i="69"/>
  <c r="I18" i="55"/>
  <c r="J59" i="69"/>
  <c r="G43" i="69"/>
  <c r="F19" i="55"/>
  <c r="G44" i="69"/>
  <c r="F18" i="55"/>
  <c r="E62" i="69"/>
  <c r="K58" i="69"/>
  <c r="I28" i="69"/>
  <c r="K28" i="69"/>
  <c r="G62" i="69"/>
  <c r="D43" i="69"/>
  <c r="D48" i="69" s="1"/>
  <c r="L48" i="69"/>
  <c r="L49" i="69"/>
  <c r="C19" i="66"/>
  <c r="H19" i="66"/>
  <c r="I19" i="66"/>
  <c r="J19" i="66"/>
  <c r="M64" i="69"/>
  <c r="O65" i="69"/>
  <c r="M65" i="69"/>
  <c r="O66" i="69"/>
  <c r="O48" i="69"/>
  <c r="F49" i="69"/>
  <c r="N49" i="69"/>
  <c r="D19" i="62"/>
  <c r="O33" i="69"/>
  <c r="N18" i="56" s="1"/>
  <c r="L64" i="69"/>
  <c r="L65" i="69"/>
  <c r="L33" i="69"/>
  <c r="K18" i="56" s="1"/>
  <c r="M49" i="69"/>
  <c r="E58" i="69"/>
  <c r="E44" i="69"/>
  <c r="I59" i="69"/>
  <c r="E60" i="69"/>
  <c r="E66" i="69"/>
  <c r="K47" i="69"/>
  <c r="K49" i="69" s="1"/>
  <c r="K61" i="69"/>
  <c r="D49" i="69"/>
  <c r="H49" i="69"/>
  <c r="G66" i="69"/>
  <c r="E43" i="69"/>
  <c r="I58" i="69"/>
  <c r="I44" i="69"/>
  <c r="E59" i="69"/>
  <c r="G42" i="69"/>
  <c r="G45" i="69" s="1"/>
  <c r="K29" i="69"/>
  <c r="E49" i="69"/>
  <c r="I49" i="69"/>
  <c r="K26" i="69"/>
  <c r="O64" i="69"/>
  <c r="O32" i="69"/>
  <c r="I27" i="69"/>
  <c r="I29" i="69"/>
  <c r="K30" i="69"/>
  <c r="K66" i="69" s="1"/>
  <c r="M66" i="69"/>
  <c r="M33" i="69"/>
  <c r="L18" i="56" s="1"/>
  <c r="I26" i="69"/>
  <c r="I43" i="69"/>
  <c r="G49" i="69"/>
  <c r="K62" i="69"/>
  <c r="F54" i="69"/>
  <c r="F53" i="69"/>
  <c r="F19" i="62"/>
  <c r="F27" i="69"/>
  <c r="J27" i="69"/>
  <c r="F29" i="69"/>
  <c r="F65" i="69" s="1"/>
  <c r="J29" i="69"/>
  <c r="J65" i="69" s="1"/>
  <c r="H30" i="69"/>
  <c r="H66" i="69" s="1"/>
  <c r="N33" i="69"/>
  <c r="M18" i="56" s="1"/>
  <c r="D58" i="69"/>
  <c r="H58" i="69"/>
  <c r="D59" i="69"/>
  <c r="H59" i="69"/>
  <c r="D61" i="69"/>
  <c r="L66" i="69"/>
  <c r="K27" i="69"/>
  <c r="I30" i="69"/>
  <c r="I66" i="69" s="1"/>
  <c r="F43" i="69"/>
  <c r="J43" i="69"/>
  <c r="F44" i="69"/>
  <c r="J44" i="69"/>
  <c r="E53" i="69"/>
  <c r="E54" i="69"/>
  <c r="I61" i="69"/>
  <c r="F30" i="69"/>
  <c r="J30" i="69"/>
  <c r="O37" i="69" l="1"/>
  <c r="N18" i="60" s="1"/>
  <c r="N37" i="69"/>
  <c r="M18" i="60" s="1"/>
  <c r="M37" i="69"/>
  <c r="L18" i="60" s="1"/>
  <c r="L37" i="69"/>
  <c r="K18" i="60" s="1"/>
  <c r="D64" i="69"/>
  <c r="F32" i="69"/>
  <c r="O67" i="69"/>
  <c r="G48" i="69"/>
  <c r="D65" i="69"/>
  <c r="K48" i="69"/>
  <c r="C18" i="56"/>
  <c r="M67" i="69"/>
  <c r="L67" i="69"/>
  <c r="H33" i="69"/>
  <c r="G18" i="56" s="1"/>
  <c r="K64" i="69"/>
  <c r="J64" i="69"/>
  <c r="K65" i="69"/>
  <c r="H65" i="69"/>
  <c r="J32" i="69"/>
  <c r="I65" i="69"/>
  <c r="J19" i="56"/>
  <c r="E65" i="69"/>
  <c r="G19" i="56"/>
  <c r="J48" i="69"/>
  <c r="D66" i="69"/>
  <c r="G65" i="69"/>
  <c r="E19" i="56"/>
  <c r="E19" i="66"/>
  <c r="C19" i="56"/>
  <c r="H18" i="66"/>
  <c r="H17" i="66" s="1"/>
  <c r="J18" i="66"/>
  <c r="J17" i="66" s="1"/>
  <c r="H19" i="56"/>
  <c r="D19" i="56"/>
  <c r="K33" i="69"/>
  <c r="J18" i="56" s="1"/>
  <c r="D19" i="66"/>
  <c r="C18" i="66"/>
  <c r="C17" i="66" s="1"/>
  <c r="F19" i="56"/>
  <c r="I19" i="56"/>
  <c r="I18" i="66"/>
  <c r="I17" i="66" s="1"/>
  <c r="I32" i="69"/>
  <c r="F48" i="69"/>
  <c r="F64" i="69"/>
  <c r="F33" i="69"/>
  <c r="I33" i="69"/>
  <c r="H18" i="56" s="1"/>
  <c r="I64" i="69"/>
  <c r="G64" i="69"/>
  <c r="J66" i="69"/>
  <c r="H32" i="69"/>
  <c r="H42" i="69"/>
  <c r="H45" i="69" s="1"/>
  <c r="I48" i="69"/>
  <c r="E64" i="69"/>
  <c r="D18" i="56"/>
  <c r="E48" i="69"/>
  <c r="G19" i="62"/>
  <c r="G54" i="69"/>
  <c r="G53" i="69"/>
  <c r="J33" i="69"/>
  <c r="F66" i="69"/>
  <c r="K32" i="69"/>
  <c r="K37" i="69" l="1"/>
  <c r="J18" i="60" s="1"/>
  <c r="K67" i="69"/>
  <c r="H67" i="69"/>
  <c r="H37" i="69"/>
  <c r="G18" i="60" s="1"/>
  <c r="I37" i="69"/>
  <c r="H18" i="60" s="1"/>
  <c r="E37" i="69"/>
  <c r="D18" i="60" s="1"/>
  <c r="J67" i="69"/>
  <c r="I18" i="56"/>
  <c r="J37" i="69"/>
  <c r="I18" i="60" s="1"/>
  <c r="F67" i="69"/>
  <c r="E18" i="56"/>
  <c r="D37" i="69"/>
  <c r="C18" i="60" s="1"/>
  <c r="F37" i="69"/>
  <c r="E18" i="60" s="1"/>
  <c r="D67" i="69"/>
  <c r="E67" i="69"/>
  <c r="I67" i="69"/>
  <c r="F19" i="66"/>
  <c r="G67" i="69"/>
  <c r="D18" i="66"/>
  <c r="D17" i="66" s="1"/>
  <c r="E18" i="66"/>
  <c r="E17" i="66" s="1"/>
  <c r="H54" i="69"/>
  <c r="H53" i="69"/>
  <c r="I42" i="69"/>
  <c r="I45" i="69" s="1"/>
  <c r="G19" i="66" l="1"/>
  <c r="F18" i="66"/>
  <c r="F17" i="66" s="1"/>
  <c r="J42" i="69"/>
  <c r="J45" i="69" s="1"/>
  <c r="G18" i="66" l="1"/>
  <c r="G17" i="66" s="1"/>
  <c r="K42" i="69"/>
  <c r="K45" i="69" s="1"/>
  <c r="L42" i="69" l="1"/>
  <c r="L45" i="69" s="1"/>
  <c r="M42" i="69" l="1"/>
  <c r="M45" i="69" s="1"/>
  <c r="N42" i="69" l="1"/>
  <c r="N45" i="69" s="1"/>
  <c r="O42" i="69" l="1"/>
  <c r="O45" i="69" s="1"/>
  <c r="O18" i="59" l="1"/>
  <c r="O17" i="59" s="1"/>
  <c r="C17" i="65"/>
  <c r="D17" i="65"/>
  <c r="E17" i="65"/>
  <c r="F17" i="65"/>
  <c r="G17" i="65"/>
  <c r="H17" i="65"/>
  <c r="I17" i="65"/>
  <c r="J17" i="65"/>
  <c r="K17" i="65"/>
  <c r="L17" i="65"/>
  <c r="M17" i="65"/>
  <c r="N17" i="65"/>
  <c r="J17" i="64" l="1"/>
  <c r="K17" i="64"/>
  <c r="L17" i="64"/>
  <c r="M17" i="64"/>
  <c r="N17" i="64"/>
  <c r="D17" i="64"/>
  <c r="E17" i="64"/>
  <c r="F17" i="64"/>
  <c r="G17" i="64"/>
  <c r="H17" i="64"/>
  <c r="I17" i="64"/>
  <c r="F5" i="66" l="1"/>
  <c r="F5" i="65"/>
  <c r="F5" i="64"/>
  <c r="F5" i="63"/>
  <c r="O18" i="60" l="1"/>
  <c r="C19" i="61" l="1"/>
  <c r="D19" i="61" s="1"/>
  <c r="E19" i="61" s="1"/>
  <c r="O18" i="61"/>
  <c r="O18" i="64"/>
  <c r="O17" i="64" s="1"/>
  <c r="F19" i="61" l="1"/>
  <c r="G19" i="61" s="1"/>
  <c r="H19" i="61" s="1"/>
  <c r="I19" i="61" s="1"/>
  <c r="J19" i="61" s="1"/>
  <c r="K19" i="61" s="1"/>
  <c r="L19" i="61" s="1"/>
  <c r="M19" i="61" s="1"/>
  <c r="N19" i="61" s="1"/>
  <c r="C17" i="64"/>
  <c r="D20" i="61" l="1"/>
  <c r="C17" i="61"/>
  <c r="O19" i="61"/>
  <c r="L22" i="66"/>
  <c r="H22" i="66"/>
  <c r="D22" i="66"/>
  <c r="L22" i="68"/>
  <c r="H22" i="68"/>
  <c r="D22" i="68"/>
  <c r="L22" i="65"/>
  <c r="H22" i="65"/>
  <c r="D22" i="65"/>
  <c r="L22" i="64"/>
  <c r="H22" i="64"/>
  <c r="D22" i="64"/>
  <c r="L22" i="63"/>
  <c r="H22" i="63"/>
  <c r="D22" i="63"/>
  <c r="J19" i="68"/>
  <c r="J19" i="36"/>
  <c r="J19" i="60"/>
  <c r="D19" i="68"/>
  <c r="E19" i="68"/>
  <c r="F19" i="68"/>
  <c r="G19" i="68"/>
  <c r="H19" i="68"/>
  <c r="I19" i="68"/>
  <c r="C19" i="68"/>
  <c r="D19" i="36"/>
  <c r="E19" i="36"/>
  <c r="F19" i="36"/>
  <c r="G19" i="36"/>
  <c r="H19" i="36"/>
  <c r="I19" i="36"/>
  <c r="C19" i="36"/>
  <c r="C19" i="58"/>
  <c r="D19" i="60"/>
  <c r="E19" i="60"/>
  <c r="F19" i="60"/>
  <c r="G19" i="60"/>
  <c r="H19" i="60"/>
  <c r="I19" i="60"/>
  <c r="C19" i="60"/>
  <c r="E20" i="61" l="1"/>
  <c r="D17" i="61"/>
  <c r="C20" i="60"/>
  <c r="D20" i="60" s="1"/>
  <c r="E20" i="60" s="1"/>
  <c r="F20" i="60" s="1"/>
  <c r="G20" i="60" s="1"/>
  <c r="H20" i="60" s="1"/>
  <c r="I20" i="60" s="1"/>
  <c r="J20" i="60" s="1"/>
  <c r="K20" i="60" s="1"/>
  <c r="O19" i="60"/>
  <c r="I9" i="68"/>
  <c r="F9" i="68"/>
  <c r="A9" i="68"/>
  <c r="G6" i="68"/>
  <c r="F5" i="68"/>
  <c r="F4" i="68"/>
  <c r="O19" i="68"/>
  <c r="O18" i="68"/>
  <c r="N17" i="68"/>
  <c r="X18" i="1" s="1"/>
  <c r="M17" i="68"/>
  <c r="W18" i="1" s="1"/>
  <c r="L17" i="68"/>
  <c r="V18" i="1" s="1"/>
  <c r="K17" i="68"/>
  <c r="U18" i="1" s="1"/>
  <c r="J17" i="68"/>
  <c r="T18" i="1" s="1"/>
  <c r="I17" i="68"/>
  <c r="S18" i="1" s="1"/>
  <c r="H17" i="68"/>
  <c r="R18" i="1" s="1"/>
  <c r="G17" i="68"/>
  <c r="Q18" i="1" s="1"/>
  <c r="F17" i="68"/>
  <c r="P18" i="1" s="1"/>
  <c r="E17" i="68"/>
  <c r="O18" i="1" s="1"/>
  <c r="D17" i="68"/>
  <c r="N18" i="1" s="1"/>
  <c r="C17" i="68"/>
  <c r="M18" i="1" s="1"/>
  <c r="N16" i="68"/>
  <c r="M16" i="68"/>
  <c r="L16" i="68"/>
  <c r="K16" i="68"/>
  <c r="J16" i="68"/>
  <c r="I16" i="68"/>
  <c r="H16" i="68"/>
  <c r="G16" i="68"/>
  <c r="F16" i="68"/>
  <c r="E16" i="68"/>
  <c r="D16" i="68"/>
  <c r="N15" i="68"/>
  <c r="M15" i="68"/>
  <c r="L15" i="68"/>
  <c r="K15" i="68"/>
  <c r="J15" i="68"/>
  <c r="I15" i="68"/>
  <c r="H15" i="68"/>
  <c r="G15" i="68"/>
  <c r="F15" i="68"/>
  <c r="E15" i="68"/>
  <c r="D15" i="68"/>
  <c r="H9" i="68"/>
  <c r="F3" i="68"/>
  <c r="L20" i="60" l="1"/>
  <c r="K17" i="60"/>
  <c r="F20" i="61"/>
  <c r="E17" i="61"/>
  <c r="C17" i="60"/>
  <c r="D17" i="60"/>
  <c r="O17" i="68"/>
  <c r="L18" i="1" s="1"/>
  <c r="I9" i="66"/>
  <c r="H9" i="66"/>
  <c r="F9" i="66"/>
  <c r="A9" i="66"/>
  <c r="N17" i="1"/>
  <c r="O17" i="1"/>
  <c r="Q17" i="1"/>
  <c r="R17" i="1"/>
  <c r="S17" i="1"/>
  <c r="V17" i="1"/>
  <c r="W17" i="1"/>
  <c r="M17" i="1"/>
  <c r="N16" i="1"/>
  <c r="O16" i="1"/>
  <c r="P16" i="1"/>
  <c r="Q16" i="1"/>
  <c r="R16" i="1"/>
  <c r="S16" i="1"/>
  <c r="V16" i="1"/>
  <c r="W16" i="1"/>
  <c r="D17" i="63"/>
  <c r="N15" i="1" s="1"/>
  <c r="E17" i="63"/>
  <c r="O15" i="1" s="1"/>
  <c r="F17" i="63"/>
  <c r="P15" i="1" s="1"/>
  <c r="G17" i="63"/>
  <c r="Q15" i="1" s="1"/>
  <c r="H17" i="63"/>
  <c r="R15" i="1" s="1"/>
  <c r="I17" i="63"/>
  <c r="S15" i="1" s="1"/>
  <c r="J17" i="63"/>
  <c r="T15" i="1" s="1"/>
  <c r="K17" i="63"/>
  <c r="U15" i="1" s="1"/>
  <c r="L17" i="63"/>
  <c r="V15" i="1" s="1"/>
  <c r="M17" i="63"/>
  <c r="W15" i="1" s="1"/>
  <c r="N17" i="63"/>
  <c r="X15" i="1" s="1"/>
  <c r="C17" i="63"/>
  <c r="M15" i="1" s="1"/>
  <c r="O19" i="38"/>
  <c r="O17" i="38" s="1"/>
  <c r="N9" i="1"/>
  <c r="O19" i="56"/>
  <c r="O18" i="56"/>
  <c r="N17" i="56"/>
  <c r="M17" i="56"/>
  <c r="L17" i="56"/>
  <c r="K17" i="56"/>
  <c r="J17" i="56"/>
  <c r="I17" i="56"/>
  <c r="H17" i="56"/>
  <c r="G17" i="56"/>
  <c r="F17" i="56"/>
  <c r="E17" i="56"/>
  <c r="D17" i="56"/>
  <c r="C17" i="56"/>
  <c r="I9" i="65"/>
  <c r="F9" i="65"/>
  <c r="A9" i="65"/>
  <c r="I9" i="64"/>
  <c r="F9" i="64"/>
  <c r="A9" i="64"/>
  <c r="I9" i="63"/>
  <c r="F9" i="63"/>
  <c r="A9" i="63"/>
  <c r="F4" i="66"/>
  <c r="F4" i="65"/>
  <c r="F4" i="64"/>
  <c r="F4" i="63"/>
  <c r="G6" i="66"/>
  <c r="G6" i="65"/>
  <c r="G6" i="64"/>
  <c r="G6" i="63"/>
  <c r="O19" i="66"/>
  <c r="O18" i="66"/>
  <c r="X19" i="1"/>
  <c r="W19" i="1"/>
  <c r="V19" i="1"/>
  <c r="U19" i="1"/>
  <c r="T19" i="1"/>
  <c r="S19" i="1"/>
  <c r="R19" i="1"/>
  <c r="Q19" i="1"/>
  <c r="P19" i="1"/>
  <c r="O19" i="1"/>
  <c r="N19" i="1"/>
  <c r="M19" i="1"/>
  <c r="N16" i="66"/>
  <c r="M16" i="66"/>
  <c r="L16" i="66"/>
  <c r="K16" i="66"/>
  <c r="J16" i="66"/>
  <c r="I16" i="66"/>
  <c r="H16" i="66"/>
  <c r="G16" i="66"/>
  <c r="F16" i="66"/>
  <c r="E16" i="66"/>
  <c r="D16" i="66"/>
  <c r="N15" i="66"/>
  <c r="M15" i="66"/>
  <c r="L15" i="66"/>
  <c r="K15" i="66"/>
  <c r="J15" i="66"/>
  <c r="I15" i="66"/>
  <c r="H15" i="66"/>
  <c r="G15" i="66"/>
  <c r="F15" i="66"/>
  <c r="E15" i="66"/>
  <c r="D15" i="66"/>
  <c r="F3" i="66"/>
  <c r="O18" i="65"/>
  <c r="O17" i="65" s="1"/>
  <c r="X17" i="1"/>
  <c r="U17" i="1"/>
  <c r="T17" i="1"/>
  <c r="P17" i="1"/>
  <c r="N16" i="65"/>
  <c r="M16" i="65"/>
  <c r="L16" i="65"/>
  <c r="K16" i="65"/>
  <c r="J16" i="65"/>
  <c r="I16" i="65"/>
  <c r="H16" i="65"/>
  <c r="G16" i="65"/>
  <c r="F16" i="65"/>
  <c r="E16" i="65"/>
  <c r="D16" i="65"/>
  <c r="N15" i="65"/>
  <c r="M15" i="65"/>
  <c r="L15" i="65"/>
  <c r="K15" i="65"/>
  <c r="J15" i="65"/>
  <c r="I15" i="65"/>
  <c r="H15" i="65"/>
  <c r="G15" i="65"/>
  <c r="F15" i="65"/>
  <c r="E15" i="65"/>
  <c r="D15" i="65"/>
  <c r="H9" i="65"/>
  <c r="F3" i="65"/>
  <c r="X16" i="1"/>
  <c r="U16" i="1"/>
  <c r="T16" i="1"/>
  <c r="M16" i="1"/>
  <c r="N16" i="64"/>
  <c r="M16" i="64"/>
  <c r="L16" i="64"/>
  <c r="K16" i="64"/>
  <c r="J16" i="64"/>
  <c r="I16" i="64"/>
  <c r="H16" i="64"/>
  <c r="G16" i="64"/>
  <c r="F16" i="64"/>
  <c r="E16" i="64"/>
  <c r="D16" i="64"/>
  <c r="N15" i="64"/>
  <c r="M15" i="64"/>
  <c r="L15" i="64"/>
  <c r="K15" i="64"/>
  <c r="J15" i="64"/>
  <c r="I15" i="64"/>
  <c r="H15" i="64"/>
  <c r="G15" i="64"/>
  <c r="F15" i="64"/>
  <c r="E15" i="64"/>
  <c r="D15" i="64"/>
  <c r="H9" i="64"/>
  <c r="F3" i="64"/>
  <c r="O19" i="63"/>
  <c r="O18" i="63"/>
  <c r="N16" i="63"/>
  <c r="M16" i="63"/>
  <c r="L16" i="63"/>
  <c r="K16" i="63"/>
  <c r="J16" i="63"/>
  <c r="I16" i="63"/>
  <c r="H16" i="63"/>
  <c r="G16" i="63"/>
  <c r="F16" i="63"/>
  <c r="E16" i="63"/>
  <c r="D16" i="63"/>
  <c r="N15" i="63"/>
  <c r="M15" i="63"/>
  <c r="L15" i="63"/>
  <c r="K15" i="63"/>
  <c r="J15" i="63"/>
  <c r="I15" i="63"/>
  <c r="H15" i="63"/>
  <c r="G15" i="63"/>
  <c r="F15" i="63"/>
  <c r="E15" i="63"/>
  <c r="D15" i="63"/>
  <c r="H9" i="63"/>
  <c r="F3" i="63"/>
  <c r="F5" i="59"/>
  <c r="F5" i="58"/>
  <c r="F5" i="38"/>
  <c r="F5" i="36"/>
  <c r="F5" i="62"/>
  <c r="F5" i="61"/>
  <c r="F5" i="60"/>
  <c r="F5" i="56"/>
  <c r="F5" i="55"/>
  <c r="O17" i="66" l="1"/>
  <c r="L19" i="1" s="1"/>
  <c r="M20" i="60"/>
  <c r="L17" i="60"/>
  <c r="V8" i="1" s="1"/>
  <c r="G20" i="61"/>
  <c r="F17" i="61"/>
  <c r="P9" i="1" s="1"/>
  <c r="E17" i="60"/>
  <c r="O8" i="1" s="1"/>
  <c r="O17" i="56"/>
  <c r="O17" i="63"/>
  <c r="L15" i="1" s="1"/>
  <c r="L17" i="1"/>
  <c r="L16" i="1"/>
  <c r="O19" i="62"/>
  <c r="O18" i="62"/>
  <c r="O19" i="55"/>
  <c r="O9" i="1"/>
  <c r="M9" i="1"/>
  <c r="O18" i="55"/>
  <c r="F3" i="59"/>
  <c r="F3" i="58"/>
  <c r="F3" i="38"/>
  <c r="F3" i="36"/>
  <c r="F3" i="62"/>
  <c r="F3" i="61"/>
  <c r="F3" i="60"/>
  <c r="F3" i="56"/>
  <c r="F3" i="55"/>
  <c r="O19" i="36"/>
  <c r="O18" i="36"/>
  <c r="L22" i="62"/>
  <c r="H22" i="62"/>
  <c r="D22" i="62"/>
  <c r="I9" i="62"/>
  <c r="F9" i="62"/>
  <c r="A9" i="62"/>
  <c r="G6" i="62"/>
  <c r="F4" i="62"/>
  <c r="N17" i="62"/>
  <c r="X10" i="1" s="1"/>
  <c r="M17" i="62"/>
  <c r="W10" i="1" s="1"/>
  <c r="L17" i="62"/>
  <c r="V10" i="1" s="1"/>
  <c r="K17" i="62"/>
  <c r="U10" i="1" s="1"/>
  <c r="J17" i="62"/>
  <c r="T10" i="1" s="1"/>
  <c r="I17" i="62"/>
  <c r="S10" i="1" s="1"/>
  <c r="H17" i="62"/>
  <c r="R10" i="1" s="1"/>
  <c r="G17" i="62"/>
  <c r="Q10" i="1" s="1"/>
  <c r="F17" i="62"/>
  <c r="P10" i="1" s="1"/>
  <c r="E17" i="62"/>
  <c r="O10" i="1" s="1"/>
  <c r="D17" i="62"/>
  <c r="N10" i="1" s="1"/>
  <c r="C17" i="62"/>
  <c r="M10" i="1" s="1"/>
  <c r="N16" i="62"/>
  <c r="M16" i="62"/>
  <c r="L16" i="62"/>
  <c r="K16" i="62"/>
  <c r="J16" i="62"/>
  <c r="I16" i="62"/>
  <c r="H16" i="62"/>
  <c r="G16" i="62"/>
  <c r="F16" i="62"/>
  <c r="E16" i="62"/>
  <c r="D16" i="62"/>
  <c r="N15" i="62"/>
  <c r="M15" i="62"/>
  <c r="L15" i="62"/>
  <c r="K15" i="62"/>
  <c r="J15" i="62"/>
  <c r="I15" i="62"/>
  <c r="H15" i="62"/>
  <c r="G15" i="62"/>
  <c r="F15" i="62"/>
  <c r="E15" i="62"/>
  <c r="D15" i="62"/>
  <c r="H9" i="62"/>
  <c r="L23" i="61"/>
  <c r="H23" i="61"/>
  <c r="D23" i="61"/>
  <c r="I9" i="61"/>
  <c r="F9" i="61"/>
  <c r="A9" i="61"/>
  <c r="G6" i="61"/>
  <c r="F4" i="61"/>
  <c r="L23" i="60"/>
  <c r="H23" i="60"/>
  <c r="D23" i="60"/>
  <c r="I9" i="60"/>
  <c r="F9" i="60"/>
  <c r="A9" i="60"/>
  <c r="G6" i="60"/>
  <c r="F4" i="60"/>
  <c r="N16" i="61"/>
  <c r="M16" i="61"/>
  <c r="L16" i="61"/>
  <c r="K16" i="61"/>
  <c r="J16" i="61"/>
  <c r="I16" i="61"/>
  <c r="H16" i="61"/>
  <c r="G16" i="61"/>
  <c r="F16" i="61"/>
  <c r="E16" i="61"/>
  <c r="D16" i="61"/>
  <c r="N15" i="61"/>
  <c r="M15" i="61"/>
  <c r="L15" i="61"/>
  <c r="K15" i="61"/>
  <c r="J15" i="61"/>
  <c r="I15" i="61"/>
  <c r="H15" i="61"/>
  <c r="G15" i="61"/>
  <c r="F15" i="61"/>
  <c r="E15" i="61"/>
  <c r="D15" i="61"/>
  <c r="H9" i="61"/>
  <c r="U8" i="1"/>
  <c r="N8" i="1"/>
  <c r="M8" i="1"/>
  <c r="N16" i="60"/>
  <c r="M16" i="60"/>
  <c r="L16" i="60"/>
  <c r="K16" i="60"/>
  <c r="J16" i="60"/>
  <c r="I16" i="60"/>
  <c r="H16" i="60"/>
  <c r="G16" i="60"/>
  <c r="F16" i="60"/>
  <c r="E16" i="60"/>
  <c r="D16" i="60"/>
  <c r="N15" i="60"/>
  <c r="M15" i="60"/>
  <c r="L15" i="60"/>
  <c r="K15" i="60"/>
  <c r="J15" i="60"/>
  <c r="I15" i="60"/>
  <c r="H15" i="60"/>
  <c r="G15" i="60"/>
  <c r="F15" i="60"/>
  <c r="E15" i="60"/>
  <c r="D15" i="60"/>
  <c r="H9" i="60"/>
  <c r="N20" i="60" l="1"/>
  <c r="N17" i="60" s="1"/>
  <c r="X8" i="1" s="1"/>
  <c r="M17" i="60"/>
  <c r="W8" i="1" s="1"/>
  <c r="H20" i="61"/>
  <c r="G17" i="61"/>
  <c r="Q9" i="1" s="1"/>
  <c r="F17" i="60"/>
  <c r="P8" i="1" s="1"/>
  <c r="O17" i="62"/>
  <c r="L10" i="1" s="1"/>
  <c r="L22" i="59"/>
  <c r="H22" i="59"/>
  <c r="D22" i="59"/>
  <c r="I9" i="59"/>
  <c r="F9" i="59"/>
  <c r="A9" i="59"/>
  <c r="G6" i="59"/>
  <c r="F4" i="59"/>
  <c r="L14" i="1"/>
  <c r="X14" i="1"/>
  <c r="W14" i="1"/>
  <c r="V14" i="1"/>
  <c r="U14" i="1"/>
  <c r="T14" i="1"/>
  <c r="S14" i="1"/>
  <c r="R14" i="1"/>
  <c r="Q14" i="1"/>
  <c r="P14" i="1"/>
  <c r="O14" i="1"/>
  <c r="N14" i="1"/>
  <c r="M14" i="1"/>
  <c r="N16" i="59"/>
  <c r="M16" i="59"/>
  <c r="L16" i="59"/>
  <c r="K16" i="59"/>
  <c r="J16" i="59"/>
  <c r="I16" i="59"/>
  <c r="H16" i="59"/>
  <c r="G16" i="59"/>
  <c r="F16" i="59"/>
  <c r="E16" i="59"/>
  <c r="D16" i="59"/>
  <c r="N15" i="59"/>
  <c r="M15" i="59"/>
  <c r="L15" i="59"/>
  <c r="K15" i="59"/>
  <c r="J15" i="59"/>
  <c r="I15" i="59"/>
  <c r="H15" i="59"/>
  <c r="G15" i="59"/>
  <c r="F15" i="59"/>
  <c r="E15" i="59"/>
  <c r="D15" i="59"/>
  <c r="H9" i="59"/>
  <c r="O19" i="58"/>
  <c r="O18" i="58"/>
  <c r="N17" i="58"/>
  <c r="X13" i="1" s="1"/>
  <c r="M17" i="58"/>
  <c r="W13" i="1" s="1"/>
  <c r="L17" i="58"/>
  <c r="V13" i="1" s="1"/>
  <c r="K17" i="58"/>
  <c r="U13" i="1" s="1"/>
  <c r="J17" i="58"/>
  <c r="T13" i="1" s="1"/>
  <c r="I17" i="58"/>
  <c r="S13" i="1" s="1"/>
  <c r="H17" i="58"/>
  <c r="R13" i="1" s="1"/>
  <c r="G17" i="58"/>
  <c r="Q13" i="1" s="1"/>
  <c r="F17" i="58"/>
  <c r="P13" i="1" s="1"/>
  <c r="E17" i="58"/>
  <c r="O13" i="1" s="1"/>
  <c r="D17" i="58"/>
  <c r="N13" i="1" s="1"/>
  <c r="C17" i="58"/>
  <c r="M13" i="1" s="1"/>
  <c r="L22" i="58"/>
  <c r="H22" i="58"/>
  <c r="D22" i="58"/>
  <c r="I9" i="58"/>
  <c r="F9" i="58"/>
  <c r="A9" i="58"/>
  <c r="G6" i="58"/>
  <c r="F4" i="58"/>
  <c r="N16" i="58"/>
  <c r="M16" i="58"/>
  <c r="L16" i="58"/>
  <c r="K16" i="58"/>
  <c r="J16" i="58"/>
  <c r="I16" i="58"/>
  <c r="H16" i="58"/>
  <c r="G16" i="58"/>
  <c r="F16" i="58"/>
  <c r="E16" i="58"/>
  <c r="D16" i="58"/>
  <c r="N15" i="58"/>
  <c r="M15" i="58"/>
  <c r="L15" i="58"/>
  <c r="K15" i="58"/>
  <c r="J15" i="58"/>
  <c r="I15" i="58"/>
  <c r="H15" i="58"/>
  <c r="G15" i="58"/>
  <c r="F15" i="58"/>
  <c r="E15" i="58"/>
  <c r="D15" i="58"/>
  <c r="H9" i="58"/>
  <c r="L22" i="56"/>
  <c r="H22" i="56"/>
  <c r="D22" i="56"/>
  <c r="I9" i="56"/>
  <c r="F9" i="56"/>
  <c r="A9" i="56"/>
  <c r="G6" i="56"/>
  <c r="F4" i="56"/>
  <c r="V7" i="1"/>
  <c r="L7" i="1"/>
  <c r="X7" i="1"/>
  <c r="W7" i="1"/>
  <c r="U7" i="1"/>
  <c r="T7" i="1"/>
  <c r="S7" i="1"/>
  <c r="R7" i="1"/>
  <c r="Q7" i="1"/>
  <c r="P7" i="1"/>
  <c r="O7" i="1"/>
  <c r="N7" i="1"/>
  <c r="M7" i="1"/>
  <c r="N16" i="56"/>
  <c r="M16" i="56"/>
  <c r="L16" i="56"/>
  <c r="K16" i="56"/>
  <c r="J16" i="56"/>
  <c r="I16" i="56"/>
  <c r="H16" i="56"/>
  <c r="G16" i="56"/>
  <c r="F16" i="56"/>
  <c r="E16" i="56"/>
  <c r="D16" i="56"/>
  <c r="N15" i="56"/>
  <c r="M15" i="56"/>
  <c r="L15" i="56"/>
  <c r="K15" i="56"/>
  <c r="J15" i="56"/>
  <c r="I15" i="56"/>
  <c r="H15" i="56"/>
  <c r="G15" i="56"/>
  <c r="F15" i="56"/>
  <c r="E15" i="56"/>
  <c r="D15" i="56"/>
  <c r="H9" i="56"/>
  <c r="L22" i="55"/>
  <c r="H22" i="55"/>
  <c r="D22" i="55"/>
  <c r="I9" i="55"/>
  <c r="F9" i="55"/>
  <c r="A9" i="55"/>
  <c r="G6" i="55"/>
  <c r="F4" i="55"/>
  <c r="O17" i="55"/>
  <c r="L6" i="1" s="1"/>
  <c r="N17" i="55"/>
  <c r="X6" i="1" s="1"/>
  <c r="M17" i="55"/>
  <c r="W6" i="1" s="1"/>
  <c r="L17" i="55"/>
  <c r="V6" i="1" s="1"/>
  <c r="K17" i="55"/>
  <c r="U6" i="1" s="1"/>
  <c r="J17" i="55"/>
  <c r="T6" i="1" s="1"/>
  <c r="I17" i="55"/>
  <c r="S6" i="1" s="1"/>
  <c r="H17" i="55"/>
  <c r="R6" i="1" s="1"/>
  <c r="G17" i="55"/>
  <c r="Q6" i="1" s="1"/>
  <c r="F17" i="55"/>
  <c r="P6" i="1" s="1"/>
  <c r="E17" i="55"/>
  <c r="O6" i="1" s="1"/>
  <c r="D17" i="55"/>
  <c r="N6" i="1" s="1"/>
  <c r="C17" i="55"/>
  <c r="M6" i="1" s="1"/>
  <c r="N16" i="55"/>
  <c r="M16" i="55"/>
  <c r="L16" i="55"/>
  <c r="K16" i="55"/>
  <c r="J16" i="55"/>
  <c r="I16" i="55"/>
  <c r="H16" i="55"/>
  <c r="G16" i="55"/>
  <c r="F16" i="55"/>
  <c r="E16" i="55"/>
  <c r="D16" i="55"/>
  <c r="N15" i="55"/>
  <c r="M15" i="55"/>
  <c r="L15" i="55"/>
  <c r="K15" i="55"/>
  <c r="J15" i="55"/>
  <c r="I15" i="55"/>
  <c r="H15" i="55"/>
  <c r="G15" i="55"/>
  <c r="F15" i="55"/>
  <c r="E15" i="55"/>
  <c r="D15" i="55"/>
  <c r="H9" i="55"/>
  <c r="O17" i="36"/>
  <c r="C17" i="36"/>
  <c r="D17" i="36"/>
  <c r="E17" i="36"/>
  <c r="G6" i="38"/>
  <c r="G6" i="36"/>
  <c r="I20" i="61" l="1"/>
  <c r="H17" i="61"/>
  <c r="R9" i="1" s="1"/>
  <c r="G17" i="60"/>
  <c r="Q8" i="1" s="1"/>
  <c r="O17" i="58"/>
  <c r="L13" i="1" s="1"/>
  <c r="N17" i="36"/>
  <c r="M17" i="36"/>
  <c r="L17" i="36"/>
  <c r="K17" i="36"/>
  <c r="J17" i="36"/>
  <c r="I17" i="36"/>
  <c r="H17" i="36"/>
  <c r="G17" i="36"/>
  <c r="F17" i="36"/>
  <c r="N16" i="36"/>
  <c r="M16" i="36"/>
  <c r="L16" i="36"/>
  <c r="K16" i="36"/>
  <c r="J16" i="36"/>
  <c r="I16" i="36"/>
  <c r="H16" i="36"/>
  <c r="G16" i="36"/>
  <c r="F16" i="36"/>
  <c r="E16" i="36"/>
  <c r="D16" i="36"/>
  <c r="N15" i="36"/>
  <c r="M15" i="36"/>
  <c r="L15" i="36"/>
  <c r="K15" i="36"/>
  <c r="J15" i="36"/>
  <c r="I15" i="36"/>
  <c r="H15" i="36"/>
  <c r="G15" i="36"/>
  <c r="F15" i="36"/>
  <c r="E15" i="36"/>
  <c r="D15" i="36"/>
  <c r="J20" i="61" l="1"/>
  <c r="K20" i="61" s="1"/>
  <c r="I17" i="61"/>
  <c r="S9" i="1" s="1"/>
  <c r="H17" i="60"/>
  <c r="R8" i="1" s="1"/>
  <c r="O11" i="1"/>
  <c r="L20" i="61" l="1"/>
  <c r="K17" i="61"/>
  <c r="U9" i="1" s="1"/>
  <c r="J17" i="61"/>
  <c r="T9" i="1" s="1"/>
  <c r="O20" i="60"/>
  <c r="I17" i="60"/>
  <c r="S8" i="1" s="1"/>
  <c r="N12" i="1"/>
  <c r="O12" i="1"/>
  <c r="P12" i="1"/>
  <c r="Q12" i="1"/>
  <c r="R12" i="1"/>
  <c r="S12" i="1"/>
  <c r="T12" i="1"/>
  <c r="U12" i="1"/>
  <c r="V12" i="1"/>
  <c r="W12" i="1"/>
  <c r="X12" i="1"/>
  <c r="M12" i="1"/>
  <c r="L22" i="38"/>
  <c r="H22" i="38"/>
  <c r="D22" i="38"/>
  <c r="L12" i="1"/>
  <c r="I9" i="38"/>
  <c r="H9" i="38"/>
  <c r="F9" i="38"/>
  <c r="A9" i="38"/>
  <c r="F4" i="38"/>
  <c r="N16" i="38"/>
  <c r="M16" i="38"/>
  <c r="L16" i="38"/>
  <c r="K16" i="38"/>
  <c r="J16" i="38"/>
  <c r="I16" i="38"/>
  <c r="H16" i="38"/>
  <c r="G16" i="38"/>
  <c r="F16" i="38"/>
  <c r="E16" i="38"/>
  <c r="D16" i="38"/>
  <c r="N15" i="38"/>
  <c r="M15" i="38"/>
  <c r="L15" i="38"/>
  <c r="K15" i="38"/>
  <c r="J15" i="38"/>
  <c r="I15" i="38"/>
  <c r="H15" i="38"/>
  <c r="G15" i="38"/>
  <c r="F15" i="38"/>
  <c r="E15" i="38"/>
  <c r="D15" i="38"/>
  <c r="L22" i="36"/>
  <c r="H22" i="36"/>
  <c r="D22" i="36"/>
  <c r="I9" i="36"/>
  <c r="H9" i="36"/>
  <c r="F9" i="36"/>
  <c r="A9" i="36"/>
  <c r="F4" i="36"/>
  <c r="X11" i="1"/>
  <c r="W11" i="1"/>
  <c r="V11" i="1"/>
  <c r="U11" i="1"/>
  <c r="T11" i="1"/>
  <c r="S11" i="1"/>
  <c r="R11" i="1"/>
  <c r="Q11" i="1"/>
  <c r="P11" i="1"/>
  <c r="N11" i="1"/>
  <c r="M11" i="1"/>
  <c r="L11" i="1"/>
  <c r="M20" i="61" l="1"/>
  <c r="L17" i="61"/>
  <c r="V9" i="1" s="1"/>
  <c r="J17" i="60"/>
  <c r="T8" i="1" s="1"/>
  <c r="O17" i="60"/>
  <c r="L8" i="1" s="1"/>
  <c r="N20" i="61" l="1"/>
  <c r="N17" i="61" s="1"/>
  <c r="X9" i="1" s="1"/>
  <c r="M17" i="61"/>
  <c r="W9" i="1" s="1"/>
  <c r="O20" i="61" l="1"/>
  <c r="O17" i="61" s="1"/>
  <c r="L9" i="1" s="1"/>
</calcChain>
</file>

<file path=xl/comments1.xml><?xml version="1.0" encoding="utf-8"?>
<comments xmlns="http://schemas.openxmlformats.org/spreadsheetml/2006/main">
  <authors>
    <author>WILSON</author>
  </authors>
  <commentList>
    <comment ref="J4" authorId="0">
      <text>
        <r>
          <rPr>
            <sz val="9"/>
            <color indexed="81"/>
            <rFont val="Tahoma"/>
            <family val="2"/>
          </rPr>
          <t xml:space="preserve">
Recomendable dejar como línea base el resultado final del indicador en el año inmediatamente anterior</t>
        </r>
      </text>
    </comment>
    <comment ref="K4" authorId="0">
      <text>
        <r>
          <rPr>
            <sz val="9"/>
            <color indexed="81"/>
            <rFont val="Tahoma"/>
            <family val="2"/>
          </rPr>
          <t xml:space="preserve">
Importante aquí establecer para cada indicador la meta final deseada de forma razonable, que se proyecta al cierre de la presente vigencia</t>
        </r>
      </text>
    </comment>
  </commentList>
</comments>
</file>

<file path=xl/sharedStrings.xml><?xml version="1.0" encoding="utf-8"?>
<sst xmlns="http://schemas.openxmlformats.org/spreadsheetml/2006/main" count="1319" uniqueCount="303">
  <si>
    <t>PROCESO</t>
  </si>
  <si>
    <t>NOMBRE DEL INDICADOR</t>
  </si>
  <si>
    <t>OBJETIVO DEL INDICADOR</t>
  </si>
  <si>
    <t xml:space="preserve"> </t>
  </si>
  <si>
    <t>Mensual</t>
  </si>
  <si>
    <t>FORMULA DEL INDICADOR</t>
  </si>
  <si>
    <t>INTERPRETACIÓN SITUACIÓN</t>
  </si>
  <si>
    <t>OPTIMA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</si>
  <si>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</si>
  <si>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</si>
  <si>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</si>
  <si>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</si>
  <si>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</si>
  <si>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</si>
  <si>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</si>
  <si>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</si>
  <si>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</si>
  <si>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</si>
  <si>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</si>
  <si>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</si>
  <si>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rPr>
        <sz val="10"/>
        <rFont val="Tahoma"/>
        <family val="2"/>
      </rPr>
      <t xml:space="preserve">FORMATO: </t>
    </r>
    <r>
      <rPr>
        <b/>
        <sz val="10"/>
        <rFont val="Tahoma"/>
        <family val="2"/>
      </rPr>
      <t>MATRIZ DE REGISTRO Y MEDICIÓN DE INDICADORES</t>
    </r>
  </si>
  <si>
    <t>CÓDIGO DEL INDICADOR</t>
  </si>
  <si>
    <t>Objetivo</t>
  </si>
  <si>
    <t>Unidad de medida</t>
  </si>
  <si>
    <t>Formula</t>
  </si>
  <si>
    <t>Meta</t>
  </si>
  <si>
    <t>Frecuencia</t>
  </si>
  <si>
    <t>Fuente de Información</t>
  </si>
  <si>
    <t>Responsable</t>
  </si>
  <si>
    <t>Por obtener Datos</t>
  </si>
  <si>
    <t>Por Análizar Datos</t>
  </si>
  <si>
    <t>MEDICIÓN DE DATOS:</t>
  </si>
  <si>
    <t>MES</t>
  </si>
  <si>
    <t>ACUM</t>
  </si>
  <si>
    <t>RANGOS DE EVALUACIÓN</t>
  </si>
  <si>
    <t>%</t>
  </si>
  <si>
    <t>ANÁLISIS GRÁFICO (Tendencia del indicador)</t>
  </si>
  <si>
    <t>VARIABLES</t>
  </si>
  <si>
    <t>METODOLOGIA PARA OBTENER LOS DATOS:</t>
  </si>
  <si>
    <t>LINEA BASE</t>
  </si>
  <si>
    <t>PERIODICIDAD REPORTE</t>
  </si>
  <si>
    <t>IN01</t>
  </si>
  <si>
    <t>IN02</t>
  </si>
  <si>
    <t>IN03</t>
  </si>
  <si>
    <t>IN04</t>
  </si>
  <si>
    <t>IN05</t>
  </si>
  <si>
    <t>IN06</t>
  </si>
  <si>
    <t>IN07</t>
  </si>
  <si>
    <t>IN08</t>
  </si>
  <si>
    <t>IN09</t>
  </si>
  <si>
    <t>SET INDICADORES GESTIÓN</t>
  </si>
  <si>
    <t xml:space="preserve">PROCESO: </t>
  </si>
  <si>
    <t>Anual</t>
  </si>
  <si>
    <t>Trimestral</t>
  </si>
  <si>
    <t>Acum.</t>
  </si>
  <si>
    <t>TIPO DE INDICADOR</t>
  </si>
  <si>
    <t>Eficacia</t>
  </si>
  <si>
    <t>Efectividad</t>
  </si>
  <si>
    <r>
      <rPr>
        <b/>
        <sz val="9"/>
        <rFont val="Tahoma"/>
        <family val="2"/>
      </rPr>
      <t>ANÁLISIS DE MEDICIÓN</t>
    </r>
    <r>
      <rPr>
        <sz val="9"/>
        <rFont val="Tahoma"/>
        <family val="2"/>
      </rPr>
      <t xml:space="preserve"> (Cumplimiento de metas, comportamiento histórico, tendencias, causas):</t>
    </r>
  </si>
  <si>
    <r>
      <rPr>
        <b/>
        <sz val="9"/>
        <rFont val="Tahoma"/>
        <family val="2"/>
      </rPr>
      <t>ACCIONES DE MEJORAMIENTO REQUERIDAS</t>
    </r>
    <r>
      <rPr>
        <sz val="9"/>
        <rFont val="Tahoma"/>
        <family val="2"/>
      </rPr>
      <t xml:space="preserve"> (Acciones a tomar cuando se evidencie el incumplimiento de las metas propuestas):</t>
    </r>
  </si>
  <si>
    <t>Fecha</t>
  </si>
  <si>
    <t>ACEPTABLE</t>
  </si>
  <si>
    <t>DEFICIENTE</t>
  </si>
  <si>
    <t>Bimensual</t>
  </si>
  <si>
    <t>Cuatrimestral</t>
  </si>
  <si>
    <t>Semestral</t>
  </si>
  <si>
    <t>TIPO INDICADOR</t>
  </si>
  <si>
    <t>Versión 2,0</t>
  </si>
  <si>
    <t>GESTIÓN DE PROYECTOS</t>
  </si>
  <si>
    <t>GESTIÓN DE PORTAFOLIO</t>
  </si>
  <si>
    <t>GESTIÓN DE OPORTUNIDADES</t>
  </si>
  <si>
    <t>GESTIÓN DE BIENES Y SERVICIOS</t>
  </si>
  <si>
    <t>GESTIÓN JURÍDICA - CONTRATACIÓN</t>
  </si>
  <si>
    <t>TECNOLOGIAS DE LA INFORMACIÓN Y LA COMUNICACIÓN - TIC'S</t>
  </si>
  <si>
    <t>MEJORAMIENTO CONTINUO</t>
  </si>
  <si>
    <t>GESTIÓN DE RECURSOS HUMANOS</t>
  </si>
  <si>
    <t>GESTIÓN DEL CONOCIMIENTO</t>
  </si>
  <si>
    <t>GESTIÓN FINANCIERA</t>
  </si>
  <si>
    <t>CONTROL INTERNO</t>
  </si>
  <si>
    <t>DIRECCIONAMIENTO ESTRATÉGICO</t>
  </si>
  <si>
    <t xml:space="preserve">Eficiencia </t>
  </si>
  <si>
    <t>GRUPO DE GESTIÓN DE PROYECTOS</t>
  </si>
  <si>
    <t>GRUPO DE GESTIÓN DE PORTAFOLIO</t>
  </si>
  <si>
    <t>GRUPO DE GESTIÓN DE OPORTUNIDADES</t>
  </si>
  <si>
    <t>GRUPO DE GESTIÓN DE BIENES Y SERVICIOS</t>
  </si>
  <si>
    <t>GRUPO DE GESTIÓN JURÍDICA - CONTRATACIÓN</t>
  </si>
  <si>
    <t>GRUPO DE TECNOLOGIAS DE LA INFORMACIÓN Y LA COMUNICACIÓN - TIC'S</t>
  </si>
  <si>
    <t>GRUPO DE MEJORAMIENTO CONTINUO</t>
  </si>
  <si>
    <t>GRUPO DE GESTIÓN DE RECURSOS HUMANOS</t>
  </si>
  <si>
    <t>GRUPO DE GESTIÓN DE SERVICIOS PÚBLICOS</t>
  </si>
  <si>
    <t>GRUPO DE GESTIÓN DEL CONOCIMIENTO</t>
  </si>
  <si>
    <t>GRUPO DE GESTIÓN FINANCIERA</t>
  </si>
  <si>
    <t>GRUPO DE CONTROL INTERNO</t>
  </si>
  <si>
    <t>GRUPO DE DIRECCIONAMIENTO ESTRATÉGICO</t>
  </si>
  <si>
    <t>AH-SP-</t>
  </si>
  <si>
    <t>IN10</t>
  </si>
  <si>
    <t>IN11</t>
  </si>
  <si>
    <t>IN12</t>
  </si>
  <si>
    <t>IN13</t>
  </si>
  <si>
    <t>Eficiencia de Recaudo  Corriente</t>
  </si>
  <si>
    <t>Eficiencia de Recaudo Total</t>
  </si>
  <si>
    <t>Cobertura de medición</t>
  </si>
  <si>
    <t>Calidad del Agua</t>
  </si>
  <si>
    <t>Índice de agua no contabilizada</t>
  </si>
  <si>
    <t>Continuidad del Servicio (Aseo)</t>
  </si>
  <si>
    <t>Disposición en Relleno Sanitario</t>
  </si>
  <si>
    <t>(Valor  Recaudado  Corriente Usuario Final / Valor  Facturado Corriente Usuario Final) x100%</t>
  </si>
  <si>
    <t>Menor al 59%</t>
  </si>
  <si>
    <t>Entre 60% y 79%</t>
  </si>
  <si>
    <t>Entre 80% y 100%</t>
  </si>
  <si>
    <t>Entre 60% y 70%</t>
  </si>
  <si>
    <t>Entre 71% y 100%</t>
  </si>
  <si>
    <t>Días</t>
  </si>
  <si>
    <t>(Cuentas por Cobrar  a particulares y/o oficiales /  Valor Facturado Usuarios particulares y/o oficiales) x 365</t>
  </si>
  <si>
    <t xml:space="preserve">(Inversión realizada / Inversión presupuestada) x 100% </t>
  </si>
  <si>
    <t xml:space="preserve">Medición de acuerdo al IRCA          </t>
  </si>
  <si>
    <t>Mayor al 8%</t>
  </si>
  <si>
    <t>Entre el 5% y el 8%</t>
  </si>
  <si>
    <t>Menor al 5%</t>
  </si>
  <si>
    <t xml:space="preserve">(Volumen  producido - Volumen facturado /   Volumen  producido)   x 100          </t>
  </si>
  <si>
    <t>Mayor al 50%</t>
  </si>
  <si>
    <t>Entre el 30% y el 50%</t>
  </si>
  <si>
    <t>Menor al 30%</t>
  </si>
  <si>
    <t>Número de dias de recolección de residuos sólidos por semestre/ 144</t>
  </si>
  <si>
    <t>Menor al 70%</t>
  </si>
  <si>
    <t>Entre 71% y 90%</t>
  </si>
  <si>
    <t>Entre 91% y 100%</t>
  </si>
  <si>
    <t>Mayor a 45 días</t>
  </si>
  <si>
    <t>Entre 31 y 45 días</t>
  </si>
  <si>
    <t>Menor a 31 días</t>
  </si>
  <si>
    <t>Vr. Facturado corriente usuario final</t>
  </si>
  <si>
    <t>Vr. recaudado corriente usuario final</t>
  </si>
  <si>
    <t>Vr. Total Facturado usuario final</t>
  </si>
  <si>
    <t>Vr. Total Recaudado usuario final</t>
  </si>
  <si>
    <t>Cuentas por cobrar a particulares y/o entidades oficiales</t>
  </si>
  <si>
    <t>Inversión Presupuestada</t>
  </si>
  <si>
    <t>No. de suscriptores</t>
  </si>
  <si>
    <t>No. de domicilios</t>
  </si>
  <si>
    <t>Residuos sólidos recolectados</t>
  </si>
  <si>
    <t>Residuos sólidos producidos</t>
  </si>
  <si>
    <t>No. de medidores en servicio</t>
  </si>
  <si>
    <t>Resultados medición metodológia IRCA</t>
  </si>
  <si>
    <t xml:space="preserve">Volumen producido </t>
  </si>
  <si>
    <t>Volumen facturado</t>
  </si>
  <si>
    <t>No. de días de recolección de residuos sólidos en el semestre</t>
  </si>
  <si>
    <t>Residuos sólidos en relleno sanitario</t>
  </si>
  <si>
    <t>(Residuos sólidos en relleno sanitario / Residuos sólidos producidos)     x 100    %</t>
  </si>
  <si>
    <t>Medir la eficiencia en el recaudo corriente de la prestación de los servicios pubicos domiciliarios de Aguas del Huila.</t>
  </si>
  <si>
    <t>Medir la eficiencia en el recaudo total de la prestación de los servicios pubicos domiciliarios de Aguas del Huila.</t>
  </si>
  <si>
    <t>Controlar la cartera existentes de servicios publicos por edades con el fin de evaluar la rotación de la misma.</t>
  </si>
  <si>
    <t>Realizar el seguimiento a la ejecución de la inversión establecida para la vigencia fiscal respectiva.</t>
  </si>
  <si>
    <t xml:space="preserve">Medir el grado de cobertura en   la prestación del servicio de alcantarillado administrado  por Aguas del Huila. </t>
  </si>
  <si>
    <t xml:space="preserve">Medir el grado de cobertura en   la prestación del servicio de acueducto administrado por Aguas del Huila. </t>
  </si>
  <si>
    <t xml:space="preserve">Medir el grado de cobertura en   la prestación del servicio de aseo administrado  por Aguas del Huila. </t>
  </si>
  <si>
    <t>Lograr que Aguas del Huila facture la totalidad del agua producida.</t>
  </si>
  <si>
    <t>Lograr que los suscriptores del servicio de acueducto de Aguas del Huila, tengan su instrumento medición.</t>
  </si>
  <si>
    <t>Prestar el servico de acueducto en forma continua las 24 horas.</t>
  </si>
  <si>
    <t>Recolectar los residuos solidos en los dias y rutas establecidas en el PEGIRS.</t>
  </si>
  <si>
    <t>Disponer la totalidad de los residuos solidos recolectados en el sitio de disposición final.</t>
  </si>
  <si>
    <t>IN14</t>
  </si>
  <si>
    <t>Monitorear la calidad de agua suministrada a los usuarios por parte de Aguas de Huila.</t>
  </si>
  <si>
    <t>PQR en la prestación del servicio.</t>
  </si>
  <si>
    <t>Medir el grado de satisfación de los suscriptores en la prestación del servicio.</t>
  </si>
  <si>
    <t>Entre 0 y 10%</t>
  </si>
  <si>
    <t>Entre 11% y el 20%</t>
  </si>
  <si>
    <t>Mayor al 21%</t>
  </si>
  <si>
    <t>Número de PQR recibidas</t>
  </si>
  <si>
    <t>Número de suscriptores del servicio</t>
  </si>
  <si>
    <t>Horas sin servicio mensual</t>
  </si>
  <si>
    <t>(720 - Horas sin servicio mensuales) / 720) * 100</t>
  </si>
  <si>
    <t>GESTIÓN DE SERVICIOS PÚBLICOS - SANTA MARÍA</t>
  </si>
  <si>
    <t>&lt; 5%</t>
  </si>
  <si>
    <t>Inversión realizada por mes</t>
  </si>
  <si>
    <t>Inversión Acumulada en el periodo</t>
  </si>
  <si>
    <t>NA</t>
  </si>
  <si>
    <t>&lt; 15%</t>
  </si>
  <si>
    <t>Cobertura   (Acueducto)</t>
  </si>
  <si>
    <t>Cobertura   (Alcantarillado)</t>
  </si>
  <si>
    <t xml:space="preserve">Cobertura   (Servicio de Aseo) </t>
  </si>
  <si>
    <t>Continuidad del servicio (Acueducto)</t>
  </si>
  <si>
    <t>Rotación de Cartera</t>
  </si>
  <si>
    <t>Ejecución de inversiones</t>
  </si>
  <si>
    <t>TABLERO DE INDICADORES BÁSICOS PARA EMPRESAS DE ACUEDUCTO, ALCANTARILLADO Y ASEO</t>
  </si>
  <si>
    <r>
      <t xml:space="preserve">MUNICIPIO : </t>
    </r>
    <r>
      <rPr>
        <sz val="16"/>
        <rFont val="Arial"/>
        <family val="2"/>
      </rPr>
      <t>SANTA MARIA</t>
    </r>
  </si>
  <si>
    <t>AGUAS DEL HUILA S.A. E.S.P.</t>
  </si>
  <si>
    <t>INFORMACIÓN REQUERIDA</t>
  </si>
  <si>
    <t>Unidad</t>
  </si>
  <si>
    <t>Domicilios</t>
  </si>
  <si>
    <t>Suscriptores de Acueducto</t>
  </si>
  <si>
    <t>Suscriptores</t>
  </si>
  <si>
    <t>Suscriptores de Alcantarillado</t>
  </si>
  <si>
    <t>Suscriptores de Aseo</t>
  </si>
  <si>
    <t>Volúmen de agua producida</t>
  </si>
  <si>
    <t>(m3/mes)</t>
  </si>
  <si>
    <t>Volúmen de agua facturada</t>
  </si>
  <si>
    <t>($/mes)</t>
  </si>
  <si>
    <t>Gastos totales</t>
  </si>
  <si>
    <t>Costos de personal</t>
  </si>
  <si>
    <t xml:space="preserve">Valor facturado Corriente servicio de Acueducto </t>
  </si>
  <si>
    <t>Valor recaudado Corriente servicio de Acueducto</t>
  </si>
  <si>
    <t>Valor facturado Corriente servicio de Alcantarillado</t>
  </si>
  <si>
    <t>Valor recaudado Corriente servicio de Alcantarillado</t>
  </si>
  <si>
    <t>Valor facturado Corriente servicio de Aseo</t>
  </si>
  <si>
    <t>Valor recaudado Corriente servicio de Aseo</t>
  </si>
  <si>
    <t>Valor facturado Deuda servicio de Acueducto</t>
  </si>
  <si>
    <t>Valor recaudado Deuda  servicio de Acueducto</t>
  </si>
  <si>
    <t>Valor facturado Deuda  servicio de Alcantarillado</t>
  </si>
  <si>
    <t>Valor recaudadoDeuda   servicio de Alcantarillado</t>
  </si>
  <si>
    <t>Valor facturado Deuda   servicio de Aseo</t>
  </si>
  <si>
    <t>Valor recaudado Deuda  servicio de Aseo</t>
  </si>
  <si>
    <t>Valor facturado Total servicio de Acueducto</t>
  </si>
  <si>
    <t>Valor recaudado Total servicio de Acueducto</t>
  </si>
  <si>
    <t>Valor facturado Total servicio de Alcantarillado</t>
  </si>
  <si>
    <t>Valor recaudado Total  servicio de Alcantarillado</t>
  </si>
  <si>
    <t>Valor facturado Total servicio de Aseo</t>
  </si>
  <si>
    <t>Valor recaudado Total  servicio de Aseo</t>
  </si>
  <si>
    <t>Gran total facturado</t>
  </si>
  <si>
    <t>Gran total recaudado</t>
  </si>
  <si>
    <t>Calidad bacteriológica</t>
  </si>
  <si>
    <t>Cumple</t>
  </si>
  <si>
    <t>Calidad fisicoquiímica</t>
  </si>
  <si>
    <t>Toneladas dispuestas Aseo</t>
  </si>
  <si>
    <t>Total Facturado Corriente</t>
  </si>
  <si>
    <t>Total Recaudado Corriente</t>
  </si>
  <si>
    <t>Total Facturado deuda</t>
  </si>
  <si>
    <t>Total Recaudado deuda</t>
  </si>
  <si>
    <t>Eficiencia Corriente Total</t>
  </si>
  <si>
    <t>Eficiencia Deuda Total</t>
  </si>
  <si>
    <t>INDICADORES</t>
  </si>
  <si>
    <t>Cobertura de Acueducto</t>
  </si>
  <si>
    <t>(%)</t>
  </si>
  <si>
    <t>Cobertura de Alcantarillado</t>
  </si>
  <si>
    <t>Cobertura de Aseo</t>
  </si>
  <si>
    <t>Calidad del agua</t>
  </si>
  <si>
    <t>Apta / No Apta</t>
  </si>
  <si>
    <t>Índice de Agua No Contabilizada</t>
  </si>
  <si>
    <t>Eficiencia  recaudo Corriente Acueducto</t>
  </si>
  <si>
    <t>Eficiencia  recaudo Corriente  Alcantarillado</t>
  </si>
  <si>
    <t>Eficiencia  recaudo Corriente Aseo</t>
  </si>
  <si>
    <t>Eficiencia  recaudo Deuda Acueducto</t>
  </si>
  <si>
    <t>Eficiencia  recaudo Deuda  Alcantarillado</t>
  </si>
  <si>
    <t>Eficiencia  recaudo Deuda Aseo</t>
  </si>
  <si>
    <t>Eficiencia recaudo Total  Acueducto</t>
  </si>
  <si>
    <t>Eficiencia recaudo Total  Alcantarillado</t>
  </si>
  <si>
    <t>Eficiencia recaudo Total Aseo</t>
  </si>
  <si>
    <t>Eficiencia recaudo Total</t>
  </si>
  <si>
    <t>Eficiencia laboral Acueducto y Alcantarillado</t>
  </si>
  <si>
    <t>Utilidad neta</t>
  </si>
  <si>
    <t>INDICADORES DE COBERTURA</t>
  </si>
  <si>
    <t>COBERTURAS DE SERVICIO</t>
  </si>
  <si>
    <t>Vr. Facturado usuarios particulares y/o entidades oficiales - Mes</t>
  </si>
  <si>
    <t>Vr. Facturado usuarios particulares y/o entidades oficiales - Acumulado</t>
  </si>
  <si>
    <t>EMPRESA:</t>
  </si>
  <si>
    <t xml:space="preserve">(Número de Suscriptores servicio de acueducto / Número de Domicilios) x 100% </t>
  </si>
  <si>
    <t xml:space="preserve">(Número de Suscriptores servicio de alcantarillado  / Número de Domicilios) x 100%  </t>
  </si>
  <si>
    <t>(Valor  Recaudado  Total Usuario Final / Valor  total Facturado usuario Final) x100%</t>
  </si>
  <si>
    <t xml:space="preserve">(Residuos sólidos recolectada / Residuos sólidos producidos) x 100%           </t>
  </si>
  <si>
    <t xml:space="preserve">(Número de Medidores en servicio / Número de Suscriptores) x 100%          </t>
  </si>
  <si>
    <t>Número de PQR recibidas / número de suscriptores del servicio *100</t>
  </si>
  <si>
    <t>No. de suscriptores servicio de acueducto</t>
  </si>
  <si>
    <t>No. de suscriptores servicio de alcantarillado</t>
  </si>
  <si>
    <t>No de horas sin servicio</t>
  </si>
  <si>
    <t>No. de PQR recibidas</t>
  </si>
  <si>
    <t>*</t>
  </si>
  <si>
    <t>RESULTADOS DE LA VIGENCIA</t>
  </si>
  <si>
    <t>Volúmen de vertimiento de alcantarillado facturado</t>
  </si>
  <si>
    <t>&lt; 1%</t>
  </si>
  <si>
    <t>&lt; %</t>
  </si>
  <si>
    <t>Se recomienda que la oficina de servicios Publicos maneje su presupuesto que permita controlar las invesiones.</t>
  </si>
  <si>
    <t>En este municipio no se atiende el servicio de aseo.</t>
  </si>
  <si>
    <t>META 2018</t>
  </si>
  <si>
    <t>RESULTADOS VIGENCIA 2018</t>
  </si>
  <si>
    <t>META  AÑO 2018</t>
  </si>
  <si>
    <t>VIGENCIA 2018</t>
  </si>
  <si>
    <t>Cumplimos el indicador aunque es bajo.</t>
  </si>
  <si>
    <t>No se cumple el indicador debido especialmente al recaudo del servico de aseo que esta a cargo de un tercero.</t>
  </si>
  <si>
    <t>Aumenta levemente el indicador y se alcanza la meta</t>
  </si>
  <si>
    <t>Se incrementa el indicador especialmente por las acciones de suspension del servicio adelantados por la empresa</t>
  </si>
  <si>
    <t>Disminuye levemente el indicador respecto al mes anterior</t>
  </si>
  <si>
    <t>Se requiere adelantar las acciones para entregar el sector a quien solo se le presta el servicio de alcantarillado</t>
  </si>
  <si>
    <t>Se requiere adelantar las acciones para entregar el sector a quien solo se le presta el servicio de alcantarillado y exigir al prestador de aseo acciones de recuperacion de cartera</t>
  </si>
  <si>
    <t>Respecto a este indicador, estamos por encima de la linea base pero no alcanzamos la meta especialmente por las razones expuesta en el indicador de eficiencia corriente</t>
  </si>
  <si>
    <t>Respecto a este indicador, estamos por encima de la linea base pero no alcanzamos la meta especialmente por las deudas existentes con los sucriptores a quienes se les factura solamente el servicio de alcantarillado</t>
  </si>
  <si>
    <t>No se cumple la meta en este indicador por las razones expuestas en los dos indicadores anteriores.</t>
  </si>
  <si>
    <t>Para este mes ejecuto el 16% de las inversiones.  Se debe tener en cuenta que somos operadores del sistema y no se realizan inversiones con recursos propios</t>
  </si>
  <si>
    <t>Se cumple con el indicador y se atienden las nuevas solicitudes presentadas.</t>
  </si>
  <si>
    <t>Es necesario ajusta el total de vivienda para incluir aquellas que se encuentran en el area que solo tienen el servicio de alcantarillado.</t>
  </si>
  <si>
    <t>Se cumple con indicador de la lilnea base, pero no se llega a la meta.</t>
  </si>
  <si>
    <t xml:space="preserve">Aumentó levemente el indicador respecto al mes anterior </t>
  </si>
  <si>
    <t>Para este mes se alcanzó la meta.  SE debe especialmente a las acciones que adelanta la empresa para la reposiciones de los medidores frenados o en mal estado.</t>
  </si>
  <si>
    <t>Se están haciendo visitas para la resposicion de los medidores en mal estado.</t>
  </si>
  <si>
    <t>En este municipio existen suscriptores que poseen acueducto propio a quienes no se les mide sus consumos</t>
  </si>
  <si>
    <t>Se cumple con el indicador.  Se entrega agua apta para el consumo humano.</t>
  </si>
  <si>
    <t>NO se cumple con el indicador y su valor es superior a la linea base.  Se debe a fugas que se presentan en la planta y a que no existe macromedidor para realizar una medida exacta del agua producida</t>
  </si>
  <si>
    <t>NO se cumple con el indicador y su valor es superior a la linea base.  Se debe a fugas que se presentan en la planta y a que no existe macromedidor para realizar una medida exacta del agua producida.</t>
  </si>
  <si>
    <t>NO se cumple con el indicador y su valor es superior a la linea base.  Se debe a fugas que se presentan en la planta y a que no existe macromedidor para realizar una medida exacta del agua producida. Igualmente es necesario aumentar la micromedicion.</t>
  </si>
  <si>
    <t>NO se cumple con el indicador y su valor es superior a la linea base.  Se debe a fugas que se presentan en la planta y a que no existe macromedidor para realizar una medida exacta del agua producida.  Debido a la existencia de suscriptores con acueducto propio no se puede controlar el consumo.</t>
  </si>
  <si>
    <t>Aumentar la cobertura de la micromedicion y buscar los mecanismos para eliminar el acueducto propio.</t>
  </si>
  <si>
    <t>No se cumple con el indicador debido al corte del servicio por cambio de redes.</t>
  </si>
  <si>
    <t>Lograr que el cambio de las redes no afecte sustancialmente el suministro de agua.  Se recomienda calcular el indicador poderado.</t>
  </si>
  <si>
    <t>La empresa no atiende la prestacion del servicio de aseo en este muncipio.</t>
  </si>
  <si>
    <t>Se cumple con el indicador, las pqr son minimas.</t>
  </si>
  <si>
    <t>La empresa no atiende la prestacion del servicio de aseo.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</si>
</sst>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%"/>
    <numFmt numFmtId="167" formatCode="0.0"/>
    <numFmt numFmtId="168" formatCode="#,##0.0"/>
    <numFmt numFmtId="169" formatCode="_-* #,##0_-;\-* #,##0_-;_-* &quot;-&quot;??_-;_-@_-"/>
    <numFmt numFmtId="170" formatCode="_ * #,##0.00_ ;_ * \-#,##0.00_ ;_ * &quot;-&quot;??_ ;_ @_ "/>
    <numFmt numFmtId="171" formatCode="_ * #,##0_ ;_ * \-#,##0_ ;_ * &quot;-&quot;??_ ;_ @_ "/>
    <numFmt numFmtId="172" formatCode="#,##0.000"/>
    <numFmt numFmtId="173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sz val="10"/>
      <color rgb="FFFF000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b/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theme="1"/>
      <name val="Arial"/>
      <family val="2"/>
    </font>
    <font>
      <b/>
      <sz val="6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Tahoma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1" fillId="0" borderId="0"/>
    <xf numFmtId="9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</cellStyleXfs>
  <cellXfs count="297">
    <xf numFmtId="0" fontId="0" fillId="0" borderId="0" xfId="0"/>
    <xf numFmtId="0" fontId="5" fillId="0" borderId="0" xfId="0" applyFont="1"/>
    <xf numFmtId="0" fontId="0" fillId="0" borderId="0" xfId="0"/>
    <xf numFmtId="0" fontId="8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10" fillId="2" borderId="15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9" fontId="8" fillId="0" borderId="0" xfId="1" applyNumberFormat="1" applyFont="1" applyAlignment="1">
      <alignment horizontal="center" vertical="center"/>
    </xf>
    <xf numFmtId="9" fontId="10" fillId="0" borderId="1" xfId="1" applyNumberFormat="1" applyFont="1" applyFill="1" applyBorder="1" applyAlignment="1">
      <alignment vertical="center"/>
    </xf>
    <xf numFmtId="166" fontId="8" fillId="7" borderId="1" xfId="1" applyNumberFormat="1" applyFont="1" applyFill="1" applyBorder="1" applyAlignment="1">
      <alignment horizontal="right" vertical="center"/>
    </xf>
    <xf numFmtId="166" fontId="8" fillId="7" borderId="15" xfId="1" applyNumberFormat="1" applyFont="1" applyFill="1" applyBorder="1" applyAlignment="1">
      <alignment horizontal="right" vertical="center"/>
    </xf>
    <xf numFmtId="9" fontId="9" fillId="7" borderId="12" xfId="1" applyNumberFormat="1" applyFont="1" applyFill="1" applyBorder="1" applyAlignment="1">
      <alignment horizontal="center" vertical="center" wrapText="1"/>
    </xf>
    <xf numFmtId="0" fontId="9" fillId="7" borderId="12" xfId="1" applyFont="1" applyFill="1" applyBorder="1" applyAlignment="1">
      <alignment horizontal="center" vertical="center" wrapText="1"/>
    </xf>
    <xf numFmtId="0" fontId="9" fillId="7" borderId="12" xfId="1" applyFont="1" applyFill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167" fontId="8" fillId="0" borderId="22" xfId="1" applyNumberFormat="1" applyFont="1" applyBorder="1" applyAlignment="1">
      <alignment vertical="center"/>
    </xf>
    <xf numFmtId="0" fontId="8" fillId="7" borderId="15" xfId="1" applyFont="1" applyFill="1" applyBorder="1" applyAlignment="1">
      <alignment vertical="center"/>
    </xf>
    <xf numFmtId="0" fontId="8" fillId="7" borderId="13" xfId="1" applyFont="1" applyFill="1" applyBorder="1" applyAlignment="1">
      <alignment vertical="center"/>
    </xf>
    <xf numFmtId="167" fontId="8" fillId="7" borderId="29" xfId="1" applyNumberFormat="1" applyFont="1" applyFill="1" applyBorder="1" applyAlignment="1">
      <alignment vertical="center"/>
    </xf>
    <xf numFmtId="166" fontId="9" fillId="7" borderId="12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vertical="center"/>
    </xf>
    <xf numFmtId="3" fontId="8" fillId="7" borderId="15" xfId="1" applyNumberFormat="1" applyFont="1" applyFill="1" applyBorder="1" applyAlignment="1">
      <alignment vertical="center"/>
    </xf>
    <xf numFmtId="166" fontId="14" fillId="0" borderId="1" xfId="1" applyNumberFormat="1" applyFont="1" applyFill="1" applyBorder="1" applyAlignment="1">
      <alignment vertical="center"/>
    </xf>
    <xf numFmtId="0" fontId="14" fillId="7" borderId="30" xfId="1" applyFont="1" applyFill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9" fillId="7" borderId="12" xfId="1" applyFont="1" applyFill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textRotation="90" wrapText="1"/>
    </xf>
    <xf numFmtId="166" fontId="15" fillId="0" borderId="36" xfId="0" applyNumberFormat="1" applyFont="1" applyBorder="1" applyAlignment="1">
      <alignment horizontal="center" vertical="center" textRotation="90" wrapText="1"/>
    </xf>
    <xf numFmtId="0" fontId="15" fillId="8" borderId="36" xfId="0" applyFont="1" applyFill="1" applyBorder="1" applyAlignment="1">
      <alignment horizontal="center" vertical="center" textRotation="90" wrapText="1"/>
    </xf>
    <xf numFmtId="0" fontId="19" fillId="5" borderId="36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7" borderId="12" xfId="1" applyFont="1" applyFill="1" applyBorder="1" applyAlignment="1">
      <alignment horizontal="center" vertical="center" wrapText="1"/>
    </xf>
    <xf numFmtId="0" fontId="9" fillId="7" borderId="12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8" fontId="9" fillId="7" borderId="12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justify" vertical="center" wrapText="1"/>
    </xf>
    <xf numFmtId="0" fontId="9" fillId="0" borderId="12" xfId="1" applyFont="1" applyBorder="1" applyAlignment="1">
      <alignment horizontal="justify" vertical="center" wrapText="1"/>
    </xf>
    <xf numFmtId="0" fontId="2" fillId="0" borderId="36" xfId="1" applyFont="1" applyBorder="1" applyAlignment="1">
      <alignment horizontal="justify" vertical="top" wrapText="1"/>
    </xf>
    <xf numFmtId="0" fontId="17" fillId="0" borderId="36" xfId="0" applyFont="1" applyBorder="1" applyAlignment="1">
      <alignment horizontal="justify" vertical="top" wrapText="1"/>
    </xf>
    <xf numFmtId="166" fontId="10" fillId="0" borderId="1" xfId="1" applyNumberFormat="1" applyFont="1" applyFill="1" applyBorder="1" applyAlignment="1">
      <alignment vertical="center"/>
    </xf>
    <xf numFmtId="49" fontId="5" fillId="0" borderId="36" xfId="0" applyNumberFormat="1" applyFont="1" applyFill="1" applyBorder="1" applyAlignment="1">
      <alignment horizontal="center" vertical="top"/>
    </xf>
    <xf numFmtId="0" fontId="16" fillId="0" borderId="36" xfId="0" applyFont="1" applyFill="1" applyBorder="1" applyAlignment="1">
      <alignment vertical="top" wrapText="1"/>
    </xf>
    <xf numFmtId="0" fontId="16" fillId="0" borderId="37" xfId="0" applyFont="1" applyFill="1" applyBorder="1" applyAlignment="1">
      <alignment horizontal="left" vertical="top" wrapText="1"/>
    </xf>
    <xf numFmtId="0" fontId="20" fillId="0" borderId="0" xfId="0" applyFont="1"/>
    <xf numFmtId="0" fontId="24" fillId="0" borderId="0" xfId="0" applyFont="1"/>
    <xf numFmtId="0" fontId="2" fillId="0" borderId="36" xfId="0" applyFont="1" applyFill="1" applyBorder="1" applyAlignment="1">
      <alignment horizontal="center" vertical="center" textRotation="90" wrapText="1"/>
    </xf>
    <xf numFmtId="9" fontId="3" fillId="0" borderId="36" xfId="1" applyNumberFormat="1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vertical="center"/>
    </xf>
    <xf numFmtId="168" fontId="15" fillId="0" borderId="36" xfId="0" applyNumberFormat="1" applyFont="1" applyBorder="1" applyAlignment="1">
      <alignment horizontal="center" vertical="center" textRotation="90" wrapText="1"/>
    </xf>
    <xf numFmtId="0" fontId="9" fillId="0" borderId="22" xfId="1" applyFont="1" applyBorder="1" applyAlignment="1">
      <alignment horizontal="justify" vertical="top" wrapText="1"/>
    </xf>
    <xf numFmtId="3" fontId="8" fillId="7" borderId="1" xfId="1" applyNumberFormat="1" applyFont="1" applyFill="1" applyBorder="1" applyAlignment="1">
      <alignment horizontal="right" vertical="center"/>
    </xf>
    <xf numFmtId="3" fontId="8" fillId="7" borderId="15" xfId="1" applyNumberFormat="1" applyFont="1" applyFill="1" applyBorder="1" applyAlignment="1">
      <alignment horizontal="right" vertical="center"/>
    </xf>
    <xf numFmtId="9" fontId="0" fillId="0" borderId="0" xfId="2" applyFont="1"/>
    <xf numFmtId="3" fontId="9" fillId="0" borderId="1" xfId="1" applyNumberFormat="1" applyFont="1" applyBorder="1" applyAlignment="1">
      <alignment vertical="center"/>
    </xf>
    <xf numFmtId="1" fontId="9" fillId="7" borderId="12" xfId="1" applyNumberFormat="1" applyFont="1" applyFill="1" applyBorder="1" applyAlignment="1">
      <alignment horizontal="center" vertical="center" wrapText="1"/>
    </xf>
    <xf numFmtId="3" fontId="9" fillId="7" borderId="15" xfId="1" applyNumberFormat="1" applyFont="1" applyFill="1" applyBorder="1" applyAlignment="1">
      <alignment vertical="center"/>
    </xf>
    <xf numFmtId="9" fontId="10" fillId="0" borderId="1" xfId="1" applyNumberFormat="1" applyFont="1" applyFill="1" applyBorder="1" applyAlignment="1">
      <alignment horizontal="right" vertical="center"/>
    </xf>
    <xf numFmtId="4" fontId="8" fillId="7" borderId="15" xfId="1" applyNumberFormat="1" applyFont="1" applyFill="1" applyBorder="1" applyAlignment="1">
      <alignment vertical="center"/>
    </xf>
    <xf numFmtId="10" fontId="8" fillId="7" borderId="15" xfId="1" applyNumberFormat="1" applyFont="1" applyFill="1" applyBorder="1" applyAlignment="1">
      <alignment vertical="center"/>
    </xf>
    <xf numFmtId="166" fontId="8" fillId="0" borderId="1" xfId="1" applyNumberFormat="1" applyFont="1" applyBorder="1" applyAlignment="1">
      <alignment vertical="center"/>
    </xf>
    <xf numFmtId="0" fontId="1" fillId="0" borderId="0" xfId="1"/>
    <xf numFmtId="0" fontId="1" fillId="12" borderId="0" xfId="1" applyFill="1"/>
    <xf numFmtId="3" fontId="9" fillId="0" borderId="0" xfId="1" applyNumberFormat="1" applyFont="1" applyFill="1" applyBorder="1" applyAlignment="1">
      <alignment vertical="center"/>
    </xf>
    <xf numFmtId="166" fontId="15" fillId="0" borderId="36" xfId="0" applyNumberFormat="1" applyFont="1" applyFill="1" applyBorder="1" applyAlignment="1">
      <alignment horizontal="center" vertical="center" textRotation="90" wrapText="1"/>
    </xf>
    <xf numFmtId="168" fontId="15" fillId="0" borderId="36" xfId="0" applyNumberFormat="1" applyFont="1" applyFill="1" applyBorder="1" applyAlignment="1">
      <alignment horizontal="center" vertical="center" textRotation="90" wrapText="1"/>
    </xf>
    <xf numFmtId="0" fontId="8" fillId="0" borderId="1" xfId="1" applyFont="1" applyBorder="1" applyAlignment="1">
      <alignment horizontal="center" vertical="center"/>
    </xf>
    <xf numFmtId="166" fontId="9" fillId="7" borderId="1" xfId="1" applyNumberFormat="1" applyFont="1" applyFill="1" applyBorder="1" applyAlignment="1">
      <alignment horizontal="center" vertical="center"/>
    </xf>
    <xf numFmtId="166" fontId="9" fillId="7" borderId="15" xfId="1" applyNumberFormat="1" applyFont="1" applyFill="1" applyBorder="1" applyAlignment="1">
      <alignment horizontal="center" vertical="center"/>
    </xf>
    <xf numFmtId="0" fontId="1" fillId="0" borderId="0" xfId="1" applyFill="1"/>
    <xf numFmtId="0" fontId="2" fillId="0" borderId="0" xfId="1" applyFont="1" applyFill="1" applyBorder="1"/>
    <xf numFmtId="0" fontId="2" fillId="0" borderId="0" xfId="1" applyFont="1" applyBorder="1"/>
    <xf numFmtId="0" fontId="2" fillId="0" borderId="0" xfId="1" applyFont="1"/>
    <xf numFmtId="0" fontId="2" fillId="0" borderId="0" xfId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quotePrefix="1" applyFont="1" applyFill="1" applyBorder="1" applyAlignment="1">
      <alignment horizontal="center"/>
    </xf>
    <xf numFmtId="0" fontId="2" fillId="0" borderId="0" xfId="1" quotePrefix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Font="1"/>
    <xf numFmtId="0" fontId="1" fillId="0" borderId="0" xfId="1" applyFont="1" applyFill="1" applyBorder="1" applyAlignment="1" applyProtection="1">
      <alignment horizontal="center"/>
      <protection locked="0"/>
    </xf>
    <xf numFmtId="0" fontId="1" fillId="0" borderId="0" xfId="1" applyFont="1" applyBorder="1" applyAlignment="1">
      <alignment horizontal="center"/>
    </xf>
    <xf numFmtId="0" fontId="1" fillId="0" borderId="0" xfId="1" applyFont="1" applyBorder="1" applyAlignment="1" applyProtection="1">
      <alignment horizontal="center"/>
      <protection locked="0"/>
    </xf>
    <xf numFmtId="169" fontId="1" fillId="0" borderId="0" xfId="1" applyNumberFormat="1" applyFont="1" applyBorder="1" applyAlignment="1" applyProtection="1">
      <alignment horizontal="center"/>
      <protection locked="0"/>
    </xf>
    <xf numFmtId="170" fontId="32" fillId="0" borderId="0" xfId="4" applyFont="1" applyBorder="1" applyAlignment="1" applyProtection="1">
      <alignment horizontal="center"/>
      <protection locked="0"/>
    </xf>
    <xf numFmtId="0" fontId="2" fillId="11" borderId="1" xfId="1" quotePrefix="1" applyFont="1" applyFill="1" applyBorder="1" applyAlignment="1">
      <alignment horizontal="center" vertical="center"/>
    </xf>
    <xf numFmtId="0" fontId="2" fillId="11" borderId="1" xfId="1" applyFont="1" applyFill="1" applyBorder="1" applyAlignment="1">
      <alignment vertical="center"/>
    </xf>
    <xf numFmtId="0" fontId="2" fillId="11" borderId="1" xfId="1" applyFont="1" applyFill="1" applyBorder="1" applyAlignment="1">
      <alignment horizontal="center" vertical="center" wrapText="1"/>
    </xf>
    <xf numFmtId="0" fontId="1" fillId="11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justify" vertical="top" wrapText="1"/>
    </xf>
    <xf numFmtId="0" fontId="10" fillId="2" borderId="1" xfId="1" applyFont="1" applyFill="1" applyBorder="1" applyAlignment="1">
      <alignment horizontal="center" vertical="center"/>
    </xf>
    <xf numFmtId="0" fontId="9" fillId="0" borderId="12" xfId="1" applyFont="1" applyBorder="1" applyAlignment="1">
      <alignment horizontal="justify" vertical="top" wrapText="1"/>
    </xf>
    <xf numFmtId="0" fontId="3" fillId="10" borderId="1" xfId="1" applyFont="1" applyFill="1" applyBorder="1" applyAlignment="1">
      <alignment horizontal="center" vertical="center"/>
    </xf>
    <xf numFmtId="17" fontId="30" fillId="10" borderId="1" xfId="1" applyNumberFormat="1" applyFont="1" applyFill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169" fontId="1" fillId="0" borderId="1" xfId="3" applyNumberFormat="1" applyFont="1" applyBorder="1" applyAlignment="1" applyProtection="1">
      <alignment vertical="center"/>
      <protection locked="0"/>
    </xf>
    <xf numFmtId="0" fontId="2" fillId="11" borderId="1" xfId="1" applyFont="1" applyFill="1" applyBorder="1" applyAlignment="1">
      <alignment horizontal="center" vertical="center"/>
    </xf>
    <xf numFmtId="169" fontId="1" fillId="11" borderId="1" xfId="3" applyNumberFormat="1" applyFont="1" applyFill="1" applyBorder="1" applyAlignment="1" applyProtection="1">
      <alignment vertical="center"/>
      <protection locked="0"/>
    </xf>
    <xf numFmtId="3" fontId="1" fillId="0" borderId="1" xfId="1" applyNumberFormat="1" applyFont="1" applyFill="1" applyBorder="1" applyAlignment="1">
      <alignment vertical="center"/>
    </xf>
    <xf numFmtId="169" fontId="1" fillId="0" borderId="1" xfId="1" applyNumberFormat="1" applyFont="1" applyBorder="1" applyAlignment="1" applyProtection="1">
      <alignment vertical="center"/>
      <protection locked="0"/>
    </xf>
    <xf numFmtId="169" fontId="1" fillId="11" borderId="1" xfId="1" applyNumberFormat="1" applyFont="1" applyFill="1" applyBorder="1" applyAlignment="1" applyProtection="1">
      <alignment vertical="center"/>
      <protection locked="0"/>
    </xf>
    <xf numFmtId="0" fontId="2" fillId="0" borderId="1" xfId="1" applyFont="1" applyFill="1" applyBorder="1" applyAlignment="1">
      <alignment horizontal="center" vertical="center"/>
    </xf>
    <xf numFmtId="169" fontId="1" fillId="14" borderId="1" xfId="3" applyNumberFormat="1" applyFont="1" applyFill="1" applyBorder="1" applyAlignment="1" applyProtection="1">
      <alignment vertical="center"/>
      <protection locked="0"/>
    </xf>
    <xf numFmtId="0" fontId="1" fillId="11" borderId="1" xfId="1" applyFont="1" applyFill="1" applyBorder="1" applyAlignment="1" applyProtection="1">
      <alignment horizontal="center" vertical="center"/>
      <protection locked="0"/>
    </xf>
    <xf numFmtId="0" fontId="1" fillId="0" borderId="1" xfId="1" applyFont="1" applyFill="1" applyBorder="1" applyAlignment="1" applyProtection="1">
      <alignment horizontal="center" vertical="center"/>
      <protection locked="0"/>
    </xf>
    <xf numFmtId="0" fontId="1" fillId="0" borderId="22" xfId="1" applyFont="1" applyFill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0" fontId="2" fillId="0" borderId="1" xfId="1" quotePrefix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169" fontId="1" fillId="14" borderId="1" xfId="1" applyNumberFormat="1" applyFont="1" applyFill="1" applyBorder="1" applyAlignment="1" applyProtection="1">
      <alignment horizontal="center" vertical="center"/>
      <protection locked="0"/>
    </xf>
    <xf numFmtId="17" fontId="1" fillId="13" borderId="1" xfId="1" applyNumberFormat="1" applyFont="1" applyFill="1" applyBorder="1" applyAlignment="1">
      <alignment horizontal="center" vertical="center"/>
    </xf>
    <xf numFmtId="169" fontId="1" fillId="14" borderId="50" xfId="1" applyNumberFormat="1" applyFont="1" applyFill="1" applyBorder="1" applyAlignment="1" applyProtection="1">
      <alignment horizontal="center" vertical="center"/>
      <protection locked="0"/>
    </xf>
    <xf numFmtId="166" fontId="32" fillId="14" borderId="1" xfId="5" applyNumberFormat="1" applyFont="1" applyFill="1" applyBorder="1" applyAlignment="1" applyProtection="1">
      <alignment horizontal="center" vertical="center"/>
      <protection locked="0"/>
    </xf>
    <xf numFmtId="9" fontId="1" fillId="14" borderId="1" xfId="5" applyNumberFormat="1" applyFont="1" applyFill="1" applyBorder="1" applyAlignment="1">
      <alignment horizontal="center" vertical="center"/>
    </xf>
    <xf numFmtId="10" fontId="1" fillId="14" borderId="1" xfId="5" applyNumberFormat="1" applyFont="1" applyFill="1" applyBorder="1" applyAlignment="1">
      <alignment horizontal="center" vertical="center"/>
    </xf>
    <xf numFmtId="9" fontId="1" fillId="14" borderId="1" xfId="5" applyFont="1" applyFill="1" applyBorder="1" applyAlignment="1">
      <alignment horizontal="center" vertical="center"/>
    </xf>
    <xf numFmtId="9" fontId="2" fillId="0" borderId="1" xfId="5" applyFont="1" applyFill="1" applyBorder="1" applyAlignment="1">
      <alignment horizontal="center" vertical="center"/>
    </xf>
    <xf numFmtId="172" fontId="1" fillId="14" borderId="1" xfId="1" applyNumberFormat="1" applyFont="1" applyFill="1" applyBorder="1" applyAlignment="1">
      <alignment horizontal="center" vertical="center"/>
    </xf>
    <xf numFmtId="169" fontId="1" fillId="14" borderId="1" xfId="3" applyNumberFormat="1" applyFont="1" applyFill="1" applyBorder="1" applyAlignment="1">
      <alignment horizontal="center" vertical="center"/>
    </xf>
    <xf numFmtId="9" fontId="8" fillId="0" borderId="1" xfId="1" applyNumberFormat="1" applyFont="1" applyFill="1" applyBorder="1" applyAlignment="1">
      <alignment vertical="center"/>
    </xf>
    <xf numFmtId="166" fontId="10" fillId="7" borderId="15" xfId="1" applyNumberFormat="1" applyFont="1" applyFill="1" applyBorder="1" applyAlignment="1">
      <alignment vertical="center"/>
    </xf>
    <xf numFmtId="166" fontId="8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 applyAlignment="1">
      <alignment vertical="center"/>
    </xf>
    <xf numFmtId="3" fontId="10" fillId="7" borderId="15" xfId="1" applyNumberFormat="1" applyFont="1" applyFill="1" applyBorder="1" applyAlignment="1">
      <alignment vertical="center"/>
    </xf>
    <xf numFmtId="166" fontId="14" fillId="7" borderId="15" xfId="1" applyNumberFormat="1" applyFont="1" applyFill="1" applyBorder="1" applyAlignment="1">
      <alignment vertical="center"/>
    </xf>
    <xf numFmtId="9" fontId="10" fillId="7" borderId="15" xfId="1" applyNumberFormat="1" applyFont="1" applyFill="1" applyBorder="1" applyAlignment="1">
      <alignment vertical="center"/>
    </xf>
    <xf numFmtId="9" fontId="10" fillId="7" borderId="15" xfId="1" applyNumberFormat="1" applyFont="1" applyFill="1" applyBorder="1" applyAlignment="1">
      <alignment horizontal="center" vertical="center"/>
    </xf>
    <xf numFmtId="171" fontId="20" fillId="11" borderId="1" xfId="4" applyNumberFormat="1" applyFont="1" applyFill="1" applyBorder="1" applyAlignment="1">
      <alignment vertical="center"/>
    </xf>
    <xf numFmtId="164" fontId="20" fillId="11" borderId="0" xfId="9" applyFont="1" applyFill="1" applyAlignment="1">
      <alignment vertical="center"/>
    </xf>
    <xf numFmtId="37" fontId="1" fillId="0" borderId="0" xfId="1" applyNumberFormat="1" applyFont="1"/>
    <xf numFmtId="171" fontId="20" fillId="11" borderId="1" xfId="4" applyNumberFormat="1" applyFont="1" applyFill="1" applyBorder="1" applyAlignment="1" applyProtection="1">
      <alignment vertical="center"/>
      <protection locked="0"/>
    </xf>
    <xf numFmtId="169" fontId="1" fillId="11" borderId="45" xfId="3" applyNumberFormat="1" applyFont="1" applyFill="1" applyBorder="1" applyAlignment="1" applyProtection="1">
      <alignment vertical="center"/>
      <protection locked="0"/>
    </xf>
    <xf numFmtId="169" fontId="1" fillId="0" borderId="45" xfId="3" applyNumberFormat="1" applyFont="1" applyBorder="1" applyAlignment="1" applyProtection="1">
      <alignment vertical="center"/>
      <protection locked="0"/>
    </xf>
    <xf numFmtId="164" fontId="20" fillId="11" borderId="1" xfId="9" applyFont="1" applyFill="1" applyBorder="1" applyAlignment="1" applyProtection="1">
      <alignment vertical="center"/>
      <protection locked="0"/>
    </xf>
    <xf numFmtId="164" fontId="20" fillId="11" borderId="1" xfId="9" applyFont="1" applyFill="1" applyBorder="1" applyAlignment="1">
      <alignment vertical="center"/>
    </xf>
    <xf numFmtId="37" fontId="1" fillId="0" borderId="1" xfId="1" applyNumberFormat="1" applyFont="1" applyBorder="1"/>
    <xf numFmtId="173" fontId="34" fillId="0" borderId="1" xfId="10" applyNumberFormat="1" applyFont="1" applyFill="1" applyBorder="1"/>
    <xf numFmtId="169" fontId="20" fillId="11" borderId="1" xfId="3" applyNumberFormat="1" applyFont="1" applyFill="1" applyBorder="1" applyAlignment="1" applyProtection="1">
      <alignment vertical="center"/>
      <protection locked="0"/>
    </xf>
    <xf numFmtId="169" fontId="20" fillId="0" borderId="1" xfId="3" applyNumberFormat="1" applyFont="1" applyBorder="1" applyAlignment="1" applyProtection="1">
      <alignment vertical="center"/>
      <protection locked="0"/>
    </xf>
    <xf numFmtId="173" fontId="1" fillId="0" borderId="1" xfId="11" applyNumberFormat="1" applyFont="1" applyFill="1" applyBorder="1" applyAlignment="1">
      <alignment vertical="center"/>
    </xf>
    <xf numFmtId="0" fontId="0" fillId="9" borderId="38" xfId="0" applyFill="1" applyBorder="1" applyAlignment="1">
      <alignment horizontal="center"/>
    </xf>
    <xf numFmtId="0" fontId="21" fillId="0" borderId="42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/>
    </xf>
    <xf numFmtId="0" fontId="0" fillId="0" borderId="42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4" fillId="8" borderId="36" xfId="0" applyFont="1" applyFill="1" applyBorder="1" applyAlignment="1">
      <alignment horizontal="center" vertical="center" wrapText="1"/>
    </xf>
    <xf numFmtId="0" fontId="15" fillId="7" borderId="36" xfId="0" applyFont="1" applyFill="1" applyBorder="1" applyAlignment="1">
      <alignment horizontal="center" vertical="center" textRotation="90" wrapText="1"/>
    </xf>
    <xf numFmtId="0" fontId="6" fillId="8" borderId="36" xfId="0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 textRotation="90" wrapText="1"/>
    </xf>
    <xf numFmtId="0" fontId="4" fillId="8" borderId="36" xfId="0" applyFont="1" applyFill="1" applyBorder="1" applyAlignment="1">
      <alignment horizontal="center" vertical="center" textRotation="90" wrapText="1"/>
    </xf>
    <xf numFmtId="0" fontId="18" fillId="8" borderId="33" xfId="0" applyFont="1" applyFill="1" applyBorder="1" applyAlignment="1">
      <alignment horizontal="right" vertical="center" wrapText="1"/>
    </xf>
    <xf numFmtId="0" fontId="18" fillId="8" borderId="34" xfId="0" applyFont="1" applyFill="1" applyBorder="1" applyAlignment="1">
      <alignment horizontal="right" vertical="center" wrapText="1"/>
    </xf>
    <xf numFmtId="0" fontId="26" fillId="0" borderId="34" xfId="0" applyFont="1" applyFill="1" applyBorder="1" applyAlignment="1">
      <alignment horizontal="left" vertical="center" wrapText="1"/>
    </xf>
    <xf numFmtId="0" fontId="26" fillId="0" borderId="35" xfId="0" applyFont="1" applyFill="1" applyBorder="1" applyAlignment="1">
      <alignment horizontal="left" vertical="center" wrapText="1"/>
    </xf>
    <xf numFmtId="0" fontId="9" fillId="0" borderId="18" xfId="1" applyFont="1" applyBorder="1" applyAlignment="1">
      <alignment horizontal="justify" vertical="top" wrapText="1"/>
    </xf>
    <xf numFmtId="0" fontId="9" fillId="0" borderId="1" xfId="1" applyFont="1" applyBorder="1" applyAlignment="1">
      <alignment horizontal="justify" vertical="top" wrapText="1"/>
    </xf>
    <xf numFmtId="17" fontId="9" fillId="0" borderId="1" xfId="1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0" fillId="7" borderId="6" xfId="1" applyFont="1" applyFill="1" applyBorder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23" fillId="7" borderId="17" xfId="1" applyFont="1" applyFill="1" applyBorder="1" applyAlignment="1">
      <alignment horizontal="center" vertical="center"/>
    </xf>
    <xf numFmtId="0" fontId="23" fillId="7" borderId="19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7" borderId="8" xfId="1" applyFont="1" applyFill="1" applyBorder="1" applyAlignment="1">
      <alignment horizontal="left" vertical="center"/>
    </xf>
    <xf numFmtId="0" fontId="8" fillId="7" borderId="9" xfId="1" applyFont="1" applyFill="1" applyBorder="1" applyAlignment="1">
      <alignment horizontal="left" vertical="center"/>
    </xf>
    <xf numFmtId="0" fontId="8" fillId="7" borderId="10" xfId="1" applyFont="1" applyFill="1" applyBorder="1" applyAlignment="1">
      <alignment horizontal="left" vertical="center"/>
    </xf>
    <xf numFmtId="0" fontId="8" fillId="7" borderId="18" xfId="1" applyFont="1" applyFill="1" applyBorder="1" applyAlignment="1">
      <alignment horizontal="left" vertical="center"/>
    </xf>
    <xf numFmtId="0" fontId="8" fillId="7" borderId="1" xfId="1" applyFont="1" applyFill="1" applyBorder="1" applyAlignment="1">
      <alignment horizontal="left" vertical="center"/>
    </xf>
    <xf numFmtId="0" fontId="10" fillId="7" borderId="1" xfId="1" applyFont="1" applyFill="1" applyBorder="1" applyAlignment="1">
      <alignment horizontal="left" vertical="center"/>
    </xf>
    <xf numFmtId="0" fontId="10" fillId="7" borderId="22" xfId="1" applyFont="1" applyFill="1" applyBorder="1" applyAlignment="1">
      <alignment horizontal="left" vertical="center"/>
    </xf>
    <xf numFmtId="0" fontId="10" fillId="7" borderId="29" xfId="1" applyFont="1" applyFill="1" applyBorder="1" applyAlignment="1">
      <alignment horizontal="left" vertical="center"/>
    </xf>
    <xf numFmtId="0" fontId="8" fillId="7" borderId="11" xfId="1" applyFont="1" applyFill="1" applyBorder="1" applyAlignment="1">
      <alignment horizontal="left" vertical="center"/>
    </xf>
    <xf numFmtId="0" fontId="8" fillId="7" borderId="12" xfId="1" applyFont="1" applyFill="1" applyBorder="1" applyAlignment="1">
      <alignment horizontal="left" vertical="center"/>
    </xf>
    <xf numFmtId="2" fontId="10" fillId="7" borderId="31" xfId="1" applyNumberFormat="1" applyFont="1" applyFill="1" applyBorder="1" applyAlignment="1">
      <alignment horizontal="left" vertical="center"/>
    </xf>
    <xf numFmtId="2" fontId="10" fillId="7" borderId="17" xfId="1" applyNumberFormat="1" applyFont="1" applyFill="1" applyBorder="1" applyAlignment="1">
      <alignment horizontal="left" vertical="center"/>
    </xf>
    <xf numFmtId="2" fontId="10" fillId="7" borderId="19" xfId="1" applyNumberFormat="1" applyFont="1" applyFill="1" applyBorder="1" applyAlignment="1">
      <alignment horizontal="left" vertical="center"/>
    </xf>
    <xf numFmtId="0" fontId="14" fillId="2" borderId="8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textRotation="90" wrapText="1"/>
    </xf>
    <xf numFmtId="0" fontId="14" fillId="2" borderId="1" xfId="1" applyFont="1" applyFill="1" applyBorder="1" applyAlignment="1">
      <alignment horizontal="center" vertical="center" textRotation="90" wrapText="1"/>
    </xf>
    <xf numFmtId="0" fontId="14" fillId="2" borderId="9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 wrapText="1"/>
    </xf>
    <xf numFmtId="0" fontId="8" fillId="7" borderId="45" xfId="1" applyFont="1" applyFill="1" applyBorder="1" applyAlignment="1">
      <alignment horizontal="left" vertical="center"/>
    </xf>
    <xf numFmtId="0" fontId="8" fillId="7" borderId="46" xfId="1" applyFont="1" applyFill="1" applyBorder="1" applyAlignment="1">
      <alignment horizontal="left" vertical="center"/>
    </xf>
    <xf numFmtId="0" fontId="8" fillId="7" borderId="47" xfId="1" applyFont="1" applyFill="1" applyBorder="1" applyAlignment="1">
      <alignment horizontal="left" vertical="center"/>
    </xf>
    <xf numFmtId="0" fontId="12" fillId="7" borderId="8" xfId="1" applyFont="1" applyFill="1" applyBorder="1" applyAlignment="1">
      <alignment horizontal="left" vertical="center"/>
    </xf>
    <xf numFmtId="0" fontId="12" fillId="7" borderId="9" xfId="1" applyFont="1" applyFill="1" applyBorder="1" applyAlignment="1">
      <alignment horizontal="left" vertical="center"/>
    </xf>
    <xf numFmtId="0" fontId="13" fillId="7" borderId="9" xfId="1" applyFont="1" applyFill="1" applyBorder="1" applyAlignment="1">
      <alignment horizontal="center" vertical="center"/>
    </xf>
    <xf numFmtId="0" fontId="13" fillId="7" borderId="10" xfId="1" applyFont="1" applyFill="1" applyBorder="1" applyAlignment="1">
      <alignment horizontal="center" vertical="center"/>
    </xf>
    <xf numFmtId="0" fontId="9" fillId="7" borderId="11" xfId="1" applyFont="1" applyFill="1" applyBorder="1" applyAlignment="1">
      <alignment horizontal="justify" vertical="top" wrapText="1"/>
    </xf>
    <xf numFmtId="0" fontId="9" fillId="7" borderId="12" xfId="1" applyFont="1" applyFill="1" applyBorder="1" applyAlignment="1">
      <alignment horizontal="justify" vertical="top" wrapText="1"/>
    </xf>
    <xf numFmtId="0" fontId="14" fillId="0" borderId="30" xfId="1" applyFont="1" applyFill="1" applyBorder="1" applyAlignment="1">
      <alignment horizontal="center" vertical="center" wrapText="1"/>
    </xf>
    <xf numFmtId="0" fontId="14" fillId="0" borderId="31" xfId="1" applyFont="1" applyFill="1" applyBorder="1" applyAlignment="1">
      <alignment horizontal="center" vertical="center" wrapText="1"/>
    </xf>
    <xf numFmtId="0" fontId="14" fillId="0" borderId="32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7" borderId="16" xfId="1" applyFont="1" applyFill="1" applyBorder="1" applyAlignment="1">
      <alignment horizontal="center" vertical="center"/>
    </xf>
    <xf numFmtId="0" fontId="10" fillId="7" borderId="17" xfId="1" applyFont="1" applyFill="1" applyBorder="1" applyAlignment="1">
      <alignment horizontal="center" vertical="center"/>
    </xf>
    <xf numFmtId="0" fontId="10" fillId="7" borderId="19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left" vertical="center" wrapText="1"/>
    </xf>
    <xf numFmtId="0" fontId="10" fillId="7" borderId="6" xfId="1" applyFont="1" applyFill="1" applyBorder="1" applyAlignment="1">
      <alignment horizontal="left" vertical="center" wrapText="1"/>
    </xf>
    <xf numFmtId="0" fontId="10" fillId="7" borderId="7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 wrapText="1"/>
    </xf>
    <xf numFmtId="0" fontId="9" fillId="0" borderId="17" xfId="1" applyFont="1" applyFill="1" applyBorder="1" applyAlignment="1">
      <alignment horizontal="left" vertical="center" wrapText="1"/>
    </xf>
    <xf numFmtId="0" fontId="9" fillId="0" borderId="19" xfId="1" applyFont="1" applyFill="1" applyBorder="1" applyAlignment="1">
      <alignment horizontal="left" vertical="center" wrapText="1"/>
    </xf>
    <xf numFmtId="0" fontId="10" fillId="7" borderId="5" xfId="1" applyFont="1" applyFill="1" applyBorder="1" applyAlignment="1">
      <alignment horizontal="left" vertical="center"/>
    </xf>
    <xf numFmtId="0" fontId="10" fillId="7" borderId="6" xfId="1" applyFont="1" applyFill="1" applyBorder="1" applyAlignment="1">
      <alignment horizontal="left" vertical="center"/>
    </xf>
    <xf numFmtId="0" fontId="10" fillId="7" borderId="7" xfId="1" applyFont="1" applyFill="1" applyBorder="1" applyAlignment="1">
      <alignment horizontal="left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8" fillId="7" borderId="3" xfId="1" applyFont="1" applyFill="1" applyBorder="1" applyAlignment="1">
      <alignment horizontal="center" vertical="center"/>
    </xf>
    <xf numFmtId="0" fontId="8" fillId="7" borderId="4" xfId="1" applyFont="1" applyFill="1" applyBorder="1" applyAlignment="1">
      <alignment horizontal="center" vertical="center"/>
    </xf>
    <xf numFmtId="9" fontId="10" fillId="7" borderId="25" xfId="1" applyNumberFormat="1" applyFont="1" applyFill="1" applyBorder="1" applyAlignment="1">
      <alignment horizontal="center" vertical="center"/>
    </xf>
    <xf numFmtId="0" fontId="10" fillId="7" borderId="26" xfId="1" applyFont="1" applyFill="1" applyBorder="1" applyAlignment="1">
      <alignment horizontal="center" vertical="center"/>
    </xf>
    <xf numFmtId="0" fontId="10" fillId="7" borderId="27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11" fillId="7" borderId="26" xfId="1" applyFont="1" applyFill="1" applyBorder="1" applyAlignment="1">
      <alignment horizontal="center" vertical="center"/>
    </xf>
    <xf numFmtId="0" fontId="11" fillId="7" borderId="27" xfId="1" applyFont="1" applyFill="1" applyBorder="1" applyAlignment="1">
      <alignment horizontal="center" vertical="center"/>
    </xf>
    <xf numFmtId="0" fontId="14" fillId="6" borderId="18" xfId="1" applyFont="1" applyFill="1" applyBorder="1" applyAlignment="1">
      <alignment horizontal="left" vertical="center"/>
    </xf>
    <xf numFmtId="0" fontId="14" fillId="6" borderId="1" xfId="1" applyFont="1" applyFill="1" applyBorder="1" applyAlignment="1">
      <alignment horizontal="left" vertical="center"/>
    </xf>
    <xf numFmtId="0" fontId="14" fillId="7" borderId="18" xfId="1" applyFont="1" applyFill="1" applyBorder="1" applyAlignment="1">
      <alignment horizontal="center" vertical="center" textRotation="90"/>
    </xf>
    <xf numFmtId="0" fontId="14" fillId="7" borderId="11" xfId="1" applyFont="1" applyFill="1" applyBorder="1" applyAlignment="1">
      <alignment horizontal="center" vertical="center" textRotation="90"/>
    </xf>
    <xf numFmtId="0" fontId="10" fillId="7" borderId="8" xfId="1" applyFont="1" applyFill="1" applyBorder="1" applyAlignment="1">
      <alignment horizontal="center" vertical="center" wrapText="1"/>
    </xf>
    <xf numFmtId="0" fontId="10" fillId="7" borderId="9" xfId="1" applyFont="1" applyFill="1" applyBorder="1" applyAlignment="1">
      <alignment horizontal="center" vertical="center" wrapText="1"/>
    </xf>
    <xf numFmtId="0" fontId="10" fillId="7" borderId="23" xfId="1" applyFont="1" applyFill="1" applyBorder="1" applyAlignment="1">
      <alignment horizontal="center" vertical="center" wrapText="1"/>
    </xf>
    <xf numFmtId="0" fontId="10" fillId="7" borderId="11" xfId="1" applyFont="1" applyFill="1" applyBorder="1" applyAlignment="1">
      <alignment horizontal="center" vertical="center" wrapText="1"/>
    </xf>
    <xf numFmtId="0" fontId="10" fillId="7" borderId="12" xfId="1" applyFont="1" applyFill="1" applyBorder="1" applyAlignment="1">
      <alignment horizontal="center" vertical="center" wrapText="1"/>
    </xf>
    <xf numFmtId="0" fontId="10" fillId="5" borderId="24" xfId="1" applyFont="1" applyFill="1" applyBorder="1" applyAlignment="1">
      <alignment horizontal="center" vertical="center"/>
    </xf>
    <xf numFmtId="0" fontId="10" fillId="4" borderId="24" xfId="1" applyFont="1" applyFill="1" applyBorder="1" applyAlignment="1">
      <alignment horizontal="center" vertical="center"/>
    </xf>
    <xf numFmtId="0" fontId="8" fillId="9" borderId="6" xfId="1" applyFont="1" applyFill="1" applyBorder="1" applyAlignment="1">
      <alignment horizontal="center" vertical="center"/>
    </xf>
    <xf numFmtId="0" fontId="10" fillId="7" borderId="15" xfId="1" applyFont="1" applyFill="1" applyBorder="1" applyAlignment="1">
      <alignment horizontal="left" vertical="center"/>
    </xf>
    <xf numFmtId="9" fontId="10" fillId="7" borderId="2" xfId="1" applyNumberFormat="1" applyFont="1" applyFill="1" applyBorder="1" applyAlignment="1">
      <alignment horizontal="center" vertical="center" wrapText="1"/>
    </xf>
    <xf numFmtId="0" fontId="11" fillId="7" borderId="3" xfId="1" applyFont="1" applyFill="1" applyBorder="1" applyAlignment="1">
      <alignment horizontal="center" vertical="center" wrapText="1"/>
    </xf>
    <xf numFmtId="0" fontId="11" fillId="7" borderId="4" xfId="1" applyFont="1" applyFill="1" applyBorder="1" applyAlignment="1">
      <alignment horizontal="center" vertical="center" wrapText="1"/>
    </xf>
    <xf numFmtId="2" fontId="10" fillId="7" borderId="32" xfId="1" applyNumberFormat="1" applyFont="1" applyFill="1" applyBorder="1" applyAlignment="1">
      <alignment horizontal="left" vertical="center"/>
    </xf>
    <xf numFmtId="0" fontId="8" fillId="7" borderId="5" xfId="1" applyFont="1" applyFill="1" applyBorder="1" applyAlignment="1">
      <alignment horizontal="center" vertical="center"/>
    </xf>
    <xf numFmtId="0" fontId="8" fillId="7" borderId="6" xfId="1" applyFont="1" applyFill="1" applyBorder="1" applyAlignment="1">
      <alignment horizontal="center" vertical="center"/>
    </xf>
    <xf numFmtId="0" fontId="8" fillId="7" borderId="7" xfId="1" applyFont="1" applyFill="1" applyBorder="1" applyAlignment="1">
      <alignment horizontal="center" vertical="center"/>
    </xf>
    <xf numFmtId="9" fontId="10" fillId="7" borderId="25" xfId="1" applyNumberFormat="1" applyFont="1" applyFill="1" applyBorder="1" applyAlignment="1">
      <alignment horizontal="center" vertical="center" wrapText="1"/>
    </xf>
    <xf numFmtId="0" fontId="10" fillId="7" borderId="26" xfId="1" applyFont="1" applyFill="1" applyBorder="1" applyAlignment="1">
      <alignment horizontal="center" vertical="center" wrapText="1"/>
    </xf>
    <xf numFmtId="0" fontId="10" fillId="7" borderId="27" xfId="1" applyFont="1" applyFill="1" applyBorder="1" applyAlignment="1">
      <alignment horizontal="center" vertical="center" wrapText="1"/>
    </xf>
    <xf numFmtId="0" fontId="9" fillId="0" borderId="11" xfId="1" applyFont="1" applyBorder="1" applyAlignment="1">
      <alignment horizontal="justify" vertical="top" wrapText="1"/>
    </xf>
    <xf numFmtId="0" fontId="9" fillId="0" borderId="12" xfId="1" applyFont="1" applyBorder="1" applyAlignment="1">
      <alignment horizontal="justify" vertical="top" wrapText="1"/>
    </xf>
    <xf numFmtId="0" fontId="10" fillId="7" borderId="14" xfId="1" applyFont="1" applyFill="1" applyBorder="1" applyAlignment="1">
      <alignment horizontal="left" vertical="center"/>
    </xf>
    <xf numFmtId="0" fontId="10" fillId="7" borderId="0" xfId="1" applyFont="1" applyFill="1" applyBorder="1" applyAlignment="1">
      <alignment horizontal="left" vertical="center"/>
    </xf>
    <xf numFmtId="0" fontId="10" fillId="7" borderId="20" xfId="1" applyFont="1" applyFill="1" applyBorder="1" applyAlignment="1">
      <alignment horizontal="left" vertical="center"/>
    </xf>
    <xf numFmtId="17" fontId="9" fillId="0" borderId="1" xfId="1" applyNumberFormat="1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3" xfId="0" applyBorder="1" applyAlignment="1">
      <alignment horizontal="justify" vertical="top" wrapText="1"/>
    </xf>
    <xf numFmtId="1" fontId="10" fillId="7" borderId="25" xfId="1" applyNumberFormat="1" applyFont="1" applyFill="1" applyBorder="1" applyAlignment="1">
      <alignment horizontal="center" vertical="center"/>
    </xf>
    <xf numFmtId="1" fontId="10" fillId="7" borderId="26" xfId="1" applyNumberFormat="1" applyFont="1" applyFill="1" applyBorder="1" applyAlignment="1">
      <alignment horizontal="center" vertical="center"/>
    </xf>
    <xf numFmtId="1" fontId="10" fillId="7" borderId="27" xfId="1" applyNumberFormat="1" applyFont="1" applyFill="1" applyBorder="1" applyAlignment="1">
      <alignment horizontal="center" vertical="center"/>
    </xf>
    <xf numFmtId="0" fontId="14" fillId="7" borderId="21" xfId="1" applyFont="1" applyFill="1" applyBorder="1" applyAlignment="1">
      <alignment horizontal="center" vertical="center" textRotation="90"/>
    </xf>
    <xf numFmtId="17" fontId="9" fillId="0" borderId="49" xfId="1" applyNumberFormat="1" applyFont="1" applyBorder="1" applyAlignment="1">
      <alignment horizontal="center" vertical="center" wrapText="1"/>
    </xf>
    <xf numFmtId="0" fontId="9" fillId="7" borderId="30" xfId="1" applyFont="1" applyFill="1" applyBorder="1" applyAlignment="1">
      <alignment horizontal="justify" vertical="top" wrapText="1"/>
    </xf>
    <xf numFmtId="0" fontId="9" fillId="7" borderId="44" xfId="1" applyFont="1" applyFill="1" applyBorder="1" applyAlignment="1">
      <alignment horizontal="justify" vertical="top" wrapText="1"/>
    </xf>
    <xf numFmtId="0" fontId="8" fillId="9" borderId="0" xfId="1" applyFont="1" applyFill="1" applyBorder="1" applyAlignment="1">
      <alignment horizontal="center" vertical="center"/>
    </xf>
    <xf numFmtId="0" fontId="12" fillId="7" borderId="51" xfId="1" applyFont="1" applyFill="1" applyBorder="1" applyAlignment="1">
      <alignment horizontal="left" vertical="center"/>
    </xf>
    <xf numFmtId="0" fontId="12" fillId="7" borderId="52" xfId="1" applyFont="1" applyFill="1" applyBorder="1" applyAlignment="1">
      <alignment horizontal="left" vertical="center"/>
    </xf>
    <xf numFmtId="0" fontId="9" fillId="0" borderId="44" xfId="1" applyFont="1" applyBorder="1" applyAlignment="1">
      <alignment horizontal="justify" vertical="top" wrapText="1"/>
    </xf>
    <xf numFmtId="0" fontId="0" fillId="0" borderId="44" xfId="0" applyBorder="1" applyAlignment="1">
      <alignment horizontal="justify" vertical="top"/>
    </xf>
    <xf numFmtId="0" fontId="31" fillId="0" borderId="0" xfId="1" applyFont="1" applyAlignment="1">
      <alignment horizontal="center"/>
    </xf>
    <xf numFmtId="0" fontId="30" fillId="0" borderId="0" xfId="1" applyFont="1" applyAlignment="1">
      <alignment horizontal="center"/>
    </xf>
    <xf numFmtId="0" fontId="30" fillId="0" borderId="0" xfId="1" applyFont="1" applyAlignment="1">
      <alignment horizontal="left"/>
    </xf>
    <xf numFmtId="0" fontId="27" fillId="0" borderId="0" xfId="1" applyFont="1" applyAlignment="1">
      <alignment horizontal="left"/>
    </xf>
    <xf numFmtId="0" fontId="1" fillId="0" borderId="0" xfId="1" applyAlignment="1"/>
    <xf numFmtId="0" fontId="29" fillId="0" borderId="0" xfId="1" applyFont="1" applyBorder="1" applyAlignment="1" applyProtection="1">
      <alignment horizontal="left"/>
      <protection locked="0"/>
    </xf>
    <xf numFmtId="0" fontId="30" fillId="10" borderId="45" xfId="1" applyFont="1" applyFill="1" applyBorder="1" applyAlignment="1">
      <alignment horizontal="center" vertical="center"/>
    </xf>
    <xf numFmtId="0" fontId="30" fillId="10" borderId="49" xfId="1" applyFont="1" applyFill="1" applyBorder="1" applyAlignment="1">
      <alignment horizontal="center" vertical="center"/>
    </xf>
    <xf numFmtId="0" fontId="1" fillId="0" borderId="0" xfId="1" applyFont="1" applyAlignment="1"/>
    <xf numFmtId="0" fontId="28" fillId="0" borderId="48" xfId="1" applyFont="1" applyBorder="1" applyAlignment="1" applyProtection="1">
      <alignment horizontal="center"/>
      <protection locked="0"/>
    </xf>
  </cellXfs>
  <cellStyles count="12">
    <cellStyle name="Millares" xfId="11" builtinId="3"/>
    <cellStyle name="Millares [0]" xfId="9" builtinId="6"/>
    <cellStyle name="Millares 2" xfId="4"/>
    <cellStyle name="Millares 3" xfId="10"/>
    <cellStyle name="Millares_Tablero de Indicadores" xfId="3"/>
    <cellStyle name="Normal" xfId="0" builtinId="0"/>
    <cellStyle name="Normal 2" xfId="1"/>
    <cellStyle name="Normal 7" xfId="6"/>
    <cellStyle name="Normal 8" xfId="8"/>
    <cellStyle name="Normal 9" xfId="7"/>
    <cellStyle name="Porcentaje" xfId="2" builtinId="5"/>
    <cellStyle name="Porcentaje 2" xfId="5"/>
  </cellStyles>
  <dxfs count="27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'01'!$A$16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'01'!$C$14:$N$14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'01'!$C$16:$N$16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B5-4625-957D-6FAB6657035E}"/>
            </c:ext>
          </c:extLst>
        </c:ser>
        <c:ser>
          <c:idx val="1"/>
          <c:order val="1"/>
          <c:tx>
            <c:strRef>
              <c:f>'01'!$A$17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'01'!$C$14:$N$14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'01'!$C$17:$N$17</c:f>
              <c:numCache>
                <c:formatCode>0.0%</c:formatCode>
                <c:ptCount val="12"/>
                <c:pt idx="0">
                  <c:v>0.89938513824071409</c:v>
                </c:pt>
                <c:pt idx="1">
                  <c:v>0.69336371946752129</c:v>
                </c:pt>
                <c:pt idx="2">
                  <c:v>0.87439972265197707</c:v>
                </c:pt>
                <c:pt idx="3">
                  <c:v>0.91003516655882843</c:v>
                </c:pt>
                <c:pt idx="4">
                  <c:v>0.87742372402846303</c:v>
                </c:pt>
                <c:pt idx="5">
                  <c:v>0.90294847376723542</c:v>
                </c:pt>
                <c:pt idx="6">
                  <c:v>0.86783966552181657</c:v>
                </c:pt>
                <c:pt idx="7">
                  <c:v>0.788972257214138</c:v>
                </c:pt>
                <c:pt idx="8">
                  <c:v>0.96654601837265952</c:v>
                </c:pt>
                <c:pt idx="9">
                  <c:v>1.0645256674535968</c:v>
                </c:pt>
                <c:pt idx="10">
                  <c:v>0.82003644505159434</c:v>
                </c:pt>
                <c:pt idx="11">
                  <c:v>0.90380431538062145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3B5-4625-957D-6FAB66570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037888"/>
        <c:axId val="180060160"/>
      </c:lineChart>
      <c:catAx>
        <c:axId val="180037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80060160"/>
        <c:crosses val="autoZero"/>
        <c:auto val="1"/>
        <c:lblAlgn val="ctr"/>
        <c:lblOffset val="100"/>
        <c:noMultiLvlLbl val="0"/>
      </c:catAx>
      <c:valAx>
        <c:axId val="1800601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800378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855" l="0.70000000000000062" r="0.70000000000000062" t="0.75000000000000855" header="0.30000000000000032" footer="0.30000000000000032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'10'!$C$14:$N$14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'10'!$C$16:$N$16</c:f>
              <c:numCache>
                <c:formatCode>0.0%</c:formatCode>
                <c:ptCount val="12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C77-41AB-8DEB-BC49CD07BF2B}"/>
            </c:ext>
          </c:extLst>
        </c:ser>
        <c:ser>
          <c:idx val="1"/>
          <c:order val="1"/>
          <c:tx>
            <c:strRef>
              <c:f>'10'!$A$17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'10'!$C$14:$N$14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'10'!$C$17:$N$17</c:f>
              <c:numCache>
                <c:formatCode>0.0%</c:formatCode>
                <c:ptCount val="12"/>
                <c:pt idx="0">
                  <c:v>0.4832883663781038</c:v>
                </c:pt>
                <c:pt idx="1">
                  <c:v>0.54522610171090458</c:v>
                </c:pt>
                <c:pt idx="2">
                  <c:v>0.53932046440522097</c:v>
                </c:pt>
                <c:pt idx="3">
                  <c:v>0.50352164538430022</c:v>
                </c:pt>
                <c:pt idx="4">
                  <c:v>0.49444915070787632</c:v>
                </c:pt>
                <c:pt idx="5">
                  <c:v>0.51058384662097689</c:v>
                </c:pt>
                <c:pt idx="6">
                  <c:v>0.43503145930586562</c:v>
                </c:pt>
                <c:pt idx="7">
                  <c:v>0.48175857769196734</c:v>
                </c:pt>
                <c:pt idx="8">
                  <c:v>0.48926956750439421</c:v>
                </c:pt>
                <c:pt idx="9">
                  <c:v>0.48996368802904117</c:v>
                </c:pt>
                <c:pt idx="10">
                  <c:v>0.38775287908943856</c:v>
                </c:pt>
                <c:pt idx="11">
                  <c:v>0.46725215838047035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C77-41AB-8DEB-BC49CD07B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017792"/>
        <c:axId val="180019584"/>
      </c:lineChart>
      <c:catAx>
        <c:axId val="180017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80019584"/>
        <c:crosses val="autoZero"/>
        <c:auto val="1"/>
        <c:lblAlgn val="ctr"/>
        <c:lblOffset val="100"/>
        <c:noMultiLvlLbl val="0"/>
      </c:catAx>
      <c:valAx>
        <c:axId val="18001958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800177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877" l="0.70000000000000062" r="0.70000000000000062" t="0.75000000000000877" header="0.30000000000000032" footer="0.30000000000000032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'11'!$A$16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'11'!$C$14:$N$14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'11'!$C$16:$N$16</c:f>
              <c:numCache>
                <c:formatCode>0%</c:formatCode>
                <c:ptCount val="12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8A-4810-B74F-E2F04A00885E}"/>
            </c:ext>
          </c:extLst>
        </c:ser>
        <c:ser>
          <c:idx val="1"/>
          <c:order val="1"/>
          <c:tx>
            <c:strRef>
              <c:f>'11'!$A$17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'11'!$C$14:$N$14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'11'!$C$17:$N$17</c:f>
              <c:numCache>
                <c:formatCode>0.0%</c:formatCode>
                <c:ptCount val="12"/>
                <c:pt idx="0">
                  <c:v>0.98750000000000004</c:v>
                </c:pt>
                <c:pt idx="1">
                  <c:v>0.98888888888888893</c:v>
                </c:pt>
                <c:pt idx="2">
                  <c:v>0.95138888888888884</c:v>
                </c:pt>
                <c:pt idx="3">
                  <c:v>0.96666666666666667</c:v>
                </c:pt>
                <c:pt idx="4">
                  <c:v>0.90416666666666667</c:v>
                </c:pt>
                <c:pt idx="5">
                  <c:v>0.94444444444444442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A8A-4810-B74F-E2F04A008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618560"/>
        <c:axId val="181620096"/>
      </c:lineChart>
      <c:catAx>
        <c:axId val="181618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81620096"/>
        <c:crosses val="autoZero"/>
        <c:auto val="1"/>
        <c:lblAlgn val="ctr"/>
        <c:lblOffset val="100"/>
        <c:noMultiLvlLbl val="0"/>
      </c:catAx>
      <c:valAx>
        <c:axId val="1816200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816185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899" l="0.70000000000000062" r="0.70000000000000062" t="0.75000000000000899" header="0.30000000000000032" footer="0.30000000000000032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'12'!$A$16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'12'!$C$14:$N$14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'12'!$C$16:$N$16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3D4-4175-81E3-0B2F353EBA30}"/>
            </c:ext>
          </c:extLst>
        </c:ser>
        <c:ser>
          <c:idx val="1"/>
          <c:order val="1"/>
          <c:tx>
            <c:strRef>
              <c:f>'12'!$A$17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'12'!$C$14:$N$14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'12'!$C$17:$N$17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3D4-4175-81E3-0B2F353EB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83168"/>
        <c:axId val="183384704"/>
      </c:lineChart>
      <c:catAx>
        <c:axId val="183383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83384704"/>
        <c:crosses val="autoZero"/>
        <c:auto val="1"/>
        <c:lblAlgn val="ctr"/>
        <c:lblOffset val="100"/>
        <c:noMultiLvlLbl val="0"/>
      </c:catAx>
      <c:valAx>
        <c:axId val="1833847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833831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921" l="0.70000000000000062" r="0.70000000000000062" t="0.75000000000000921" header="0.30000000000000032" footer="0.30000000000000032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'13'!$A$16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'13'!$C$14:$N$14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'13'!$C$16:$N$16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129-415D-9928-586A0122B0EB}"/>
            </c:ext>
          </c:extLst>
        </c:ser>
        <c:ser>
          <c:idx val="1"/>
          <c:order val="1"/>
          <c:tx>
            <c:strRef>
              <c:f>'13'!$A$17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'13'!$C$14:$N$14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'13'!$C$17:$N$17</c:f>
              <c:numCache>
                <c:formatCode>0.0%</c:formatCode>
                <c:ptCount val="12"/>
                <c:pt idx="0">
                  <c:v>1.9455252918287938E-3</c:v>
                </c:pt>
                <c:pt idx="1">
                  <c:v>3.8910505836575876E-3</c:v>
                </c:pt>
                <c:pt idx="2">
                  <c:v>8.7463556851311956E-3</c:v>
                </c:pt>
                <c:pt idx="3">
                  <c:v>6.7961165048543689E-3</c:v>
                </c:pt>
                <c:pt idx="4">
                  <c:v>5.8252427184466021E-3</c:v>
                </c:pt>
                <c:pt idx="5">
                  <c:v>3.875968992248062E-3</c:v>
                </c:pt>
                <c:pt idx="6">
                  <c:v>3.8684719535783366E-3</c:v>
                </c:pt>
                <c:pt idx="7">
                  <c:v>2.8790786948176585E-3</c:v>
                </c:pt>
                <c:pt idx="8">
                  <c:v>9.5785440613026813E-3</c:v>
                </c:pt>
                <c:pt idx="9">
                  <c:v>1.9138755980861245E-3</c:v>
                </c:pt>
                <c:pt idx="10">
                  <c:v>2.8625954198473282E-3</c:v>
                </c:pt>
                <c:pt idx="11">
                  <c:v>7.619047619047619E-3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129-415D-9928-586A0122B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01184"/>
        <c:axId val="183502720"/>
      </c:lineChart>
      <c:catAx>
        <c:axId val="183501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83502720"/>
        <c:crosses val="autoZero"/>
        <c:auto val="1"/>
        <c:lblAlgn val="ctr"/>
        <c:lblOffset val="100"/>
        <c:noMultiLvlLbl val="0"/>
      </c:catAx>
      <c:valAx>
        <c:axId val="1835027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835011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966" l="0.70000000000000062" r="0.70000000000000062" t="0.75000000000000966" header="0.30000000000000032" footer="0.30000000000000032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'14'!$A$16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'14'!$C$14:$N$14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'14'!$C$16:$N$16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07-4EE4-A992-34C94C8DBA7C}"/>
            </c:ext>
          </c:extLst>
        </c:ser>
        <c:ser>
          <c:idx val="1"/>
          <c:order val="1"/>
          <c:tx>
            <c:strRef>
              <c:f>'14'!$A$17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'14'!$C$14:$N$14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'14'!$C$17:$N$17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207-4EE4-A992-34C94C8DB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704960"/>
        <c:axId val="183731328"/>
      </c:lineChart>
      <c:catAx>
        <c:axId val="183704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83731328"/>
        <c:crosses val="autoZero"/>
        <c:auto val="1"/>
        <c:lblAlgn val="ctr"/>
        <c:lblOffset val="100"/>
        <c:noMultiLvlLbl val="0"/>
      </c:catAx>
      <c:valAx>
        <c:axId val="1837313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837049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944" l="0.70000000000000062" r="0.70000000000000062" t="0.75000000000000944" header="0.30000000000000032" footer="0.30000000000000032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66"/>
      <c:hPercent val="57"/>
      <c:rotY val="39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56255841259646E-2"/>
          <c:y val="1.049871457388701E-2"/>
          <c:w val="0.91718819975904575"/>
          <c:h val="0.85826991641526362"/>
        </c:manualLayout>
      </c:layout>
      <c:bar3DChart>
        <c:barDir val="col"/>
        <c:grouping val="standard"/>
        <c:varyColors val="0"/>
        <c:ser>
          <c:idx val="0"/>
          <c:order val="0"/>
          <c:tx>
            <c:v>Acueducto</c:v>
          </c:tx>
          <c:invertIfNegative val="0"/>
          <c:dLbls>
            <c:dLbl>
              <c:idx val="0"/>
              <c:layout>
                <c:manualLayout>
                  <c:x val="3.1626562159270811E-3"/>
                  <c:y val="-0.103623181487003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0E-487B-A305-AD12C6A32A72}"/>
                </c:ext>
              </c:extLst>
            </c:dLbl>
            <c:dLbl>
              <c:idx val="1"/>
              <c:layout>
                <c:manualLayout>
                  <c:x val="7.7893490880024058E-3"/>
                  <c:y val="-8.787510962616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0E-487B-A305-AD12C6A32A72}"/>
                </c:ext>
              </c:extLst>
            </c:dLbl>
            <c:dLbl>
              <c:idx val="2"/>
              <c:layout>
                <c:manualLayout>
                  <c:x val="9.2910395758895748E-3"/>
                  <c:y val="-8.787510962616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0E-487B-A305-AD12C6A32A72}"/>
                </c:ext>
              </c:extLst>
            </c:dLbl>
            <c:dLbl>
              <c:idx val="3"/>
              <c:layout>
                <c:manualLayout>
                  <c:x val="7.6677276795890596E-3"/>
                  <c:y val="-0.103623181487003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0E-487B-A305-AD12C6A32A72}"/>
                </c:ext>
              </c:extLst>
            </c:dLbl>
            <c:dLbl>
              <c:idx val="4"/>
              <c:layout>
                <c:manualLayout>
                  <c:x val="9.1694181674763526E-3"/>
                  <c:y val="-8.787510962616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0E-487B-A305-AD12C6A32A72}"/>
                </c:ext>
              </c:extLst>
            </c:dLbl>
            <c:dLbl>
              <c:idx val="5"/>
              <c:layout>
                <c:manualLayout>
                  <c:x val="1.3796111039551327E-2"/>
                  <c:y val="-8.5250430982700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0E-487B-A305-AD12C6A32A72}"/>
                </c:ext>
              </c:extLst>
            </c:dLbl>
            <c:dLbl>
              <c:idx val="6"/>
              <c:layout>
                <c:manualLayout>
                  <c:x val="1.5297965569433402E-2"/>
                  <c:y val="-8.5250430982700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0E-487B-A305-AD12C6A32A72}"/>
                </c:ext>
              </c:extLst>
            </c:dLbl>
            <c:dLbl>
              <c:idx val="7"/>
              <c:layout>
                <c:manualLayout>
                  <c:x val="1.6799656057320637E-2"/>
                  <c:y val="-8.0001073695753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0E-487B-A305-AD12C6A32A72}"/>
                </c:ext>
              </c:extLst>
            </c:dLbl>
            <c:dLbl>
              <c:idx val="8"/>
              <c:layout>
                <c:manualLayout>
                  <c:x val="1.8301346545207983E-2"/>
                  <c:y val="-8.5250430982700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50E-487B-A305-AD12C6A32A72}"/>
                </c:ext>
              </c:extLst>
            </c:dLbl>
            <c:dLbl>
              <c:idx val="9"/>
              <c:layout>
                <c:manualLayout>
                  <c:x val="1.9802872991101148E-2"/>
                  <c:y val="-8.5250430982700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0E-487B-A305-AD12C6A32A72}"/>
                </c:ext>
              </c:extLst>
            </c:dLbl>
            <c:dLbl>
              <c:idx val="10"/>
              <c:layout>
                <c:manualLayout>
                  <c:x val="2.1304727520982676E-2"/>
                  <c:y val="-8.5250430982700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50E-487B-A305-AD12C6A32A72}"/>
                </c:ext>
              </c:extLst>
            </c:dLbl>
            <c:dLbl>
              <c:idx val="11"/>
              <c:layout>
                <c:manualLayout>
                  <c:x val="2.2806418008870916E-2"/>
                  <c:y val="-8.0001073695753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50E-487B-A305-AD12C6A32A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'STA MARIA-18'!$D$52:$I$52</c:f>
              <c:numCache>
                <c:formatCode>mmm\-yy</c:formatCode>
                <c:ptCount val="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</c:numCache>
            </c:numRef>
          </c:cat>
          <c:val>
            <c:numRef>
              <c:f>'STA MARIA-18'!$D$53:$I$53</c:f>
              <c:numCache>
                <c:formatCode>0%</c:formatCode>
                <c:ptCount val="6"/>
                <c:pt idx="0">
                  <c:v>0.98707753479125249</c:v>
                </c:pt>
                <c:pt idx="1">
                  <c:v>0.98709036742800393</c:v>
                </c:pt>
                <c:pt idx="2">
                  <c:v>0.98710317460317465</c:v>
                </c:pt>
                <c:pt idx="3">
                  <c:v>0.98710317460317465</c:v>
                </c:pt>
                <c:pt idx="4">
                  <c:v>0.98710317460317465</c:v>
                </c:pt>
                <c:pt idx="5">
                  <c:v>0.98712871287128712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B50E-487B-A305-AD12C6A32A72}"/>
            </c:ext>
          </c:extLst>
        </c:ser>
        <c:ser>
          <c:idx val="1"/>
          <c:order val="1"/>
          <c:tx>
            <c:v>Alcanatrillado</c:v>
          </c:tx>
          <c:invertIfNegative val="0"/>
          <c:dLbls>
            <c:dLbl>
              <c:idx val="0"/>
              <c:layout>
                <c:manualLayout>
                  <c:x val="6.5585229278869485E-3"/>
                  <c:y val="-0.136455752413419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50E-487B-A305-AD12C6A32A72}"/>
                </c:ext>
              </c:extLst>
            </c:dLbl>
            <c:dLbl>
              <c:idx val="1"/>
              <c:layout>
                <c:manualLayout>
                  <c:x val="8.0602134157742467E-3"/>
                  <c:y val="-0.139080431056897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50E-487B-A305-AD12C6A32A72}"/>
                </c:ext>
              </c:extLst>
            </c:dLbl>
            <c:dLbl>
              <c:idx val="2"/>
              <c:layout>
                <c:manualLayout>
                  <c:x val="3.3120631772811113E-3"/>
                  <c:y val="-0.11545832326564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50E-487B-A305-AD12C6A32A72}"/>
                </c:ext>
              </c:extLst>
            </c:dLbl>
            <c:dLbl>
              <c:idx val="3"/>
              <c:layout>
                <c:manualLayout>
                  <c:x val="1.1063758433543685E-2"/>
                  <c:y val="-0.110208965978702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50E-487B-A305-AD12C6A32A72}"/>
                </c:ext>
              </c:extLst>
            </c:dLbl>
            <c:dLbl>
              <c:idx val="4"/>
              <c:layout>
                <c:manualLayout>
                  <c:x val="9.4404465372440252E-3"/>
                  <c:y val="-0.11545832326564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50E-487B-A305-AD12C6A32A72}"/>
                </c:ext>
              </c:extLst>
            </c:dLbl>
            <c:dLbl>
              <c:idx val="5"/>
              <c:layout>
                <c:manualLayout>
                  <c:x val="1.0942137025130683E-2"/>
                  <c:y val="-0.110208965978702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50E-487B-A305-AD12C6A32A72}"/>
                </c:ext>
              </c:extLst>
            </c:dLbl>
            <c:dLbl>
              <c:idx val="6"/>
              <c:layout>
                <c:manualLayout>
                  <c:x val="1.2443827513018488E-2"/>
                  <c:y val="-0.110208965978702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50E-487B-A305-AD12C6A32A72}"/>
                </c:ext>
              </c:extLst>
            </c:dLbl>
            <c:dLbl>
              <c:idx val="7"/>
              <c:layout>
                <c:manualLayout>
                  <c:x val="1.3945518000905771E-2"/>
                  <c:y val="-0.11545832326564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50E-487B-A305-AD12C6A32A72}"/>
                </c:ext>
              </c:extLst>
            </c:dLbl>
            <c:dLbl>
              <c:idx val="8"/>
              <c:layout>
                <c:manualLayout>
                  <c:x val="1.2322206104605014E-2"/>
                  <c:y val="-9.9710251404815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50E-487B-A305-AD12C6A32A72}"/>
                </c:ext>
              </c:extLst>
            </c:dLbl>
            <c:dLbl>
              <c:idx val="9"/>
              <c:layout>
                <c:manualLayout>
                  <c:x val="2.0073901360867612E-2"/>
                  <c:y val="-0.110208965978702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50E-487B-A305-AD12C6A32A72}"/>
                </c:ext>
              </c:extLst>
            </c:dLbl>
            <c:dLbl>
              <c:idx val="10"/>
              <c:layout>
                <c:manualLayout>
                  <c:x val="2.1575591848754946E-2"/>
                  <c:y val="-9.9710251404815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50E-487B-A305-AD12C6A32A72}"/>
                </c:ext>
              </c:extLst>
            </c:dLbl>
            <c:dLbl>
              <c:idx val="11"/>
              <c:layout>
                <c:manualLayout>
                  <c:x val="1.6827277568267577E-2"/>
                  <c:y val="-9.9710251404815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50E-487B-A305-AD12C6A32A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'STA MARIA-18'!$D$52:$I$52</c:f>
              <c:numCache>
                <c:formatCode>mmm\-yy</c:formatCode>
                <c:ptCount val="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</c:numCache>
            </c:numRef>
          </c:cat>
          <c:val>
            <c:numRef>
              <c:f>'STA MARIA-18'!$D$54:$I$54</c:f>
              <c:numCache>
                <c:formatCode>0%</c:formatCode>
                <c:ptCount val="6"/>
                <c:pt idx="0">
                  <c:v>1.0218687872763419</c:v>
                </c:pt>
                <c:pt idx="1">
                  <c:v>1.0208540218470705</c:v>
                </c:pt>
                <c:pt idx="2">
                  <c:v>1.0208333333333333</c:v>
                </c:pt>
                <c:pt idx="3">
                  <c:v>1.0218253968253967</c:v>
                </c:pt>
                <c:pt idx="4">
                  <c:v>1.0218253968253967</c:v>
                </c:pt>
                <c:pt idx="5">
                  <c:v>1.0217821782178218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B50E-487B-A305-AD12C6A32A72}"/>
            </c:ext>
          </c:extLst>
        </c:ser>
        <c:ser>
          <c:idx val="2"/>
          <c:order val="2"/>
          <c:tx>
            <c:v>Aseo</c:v>
          </c:tx>
          <c:invertIfNegative val="0"/>
          <c:dLbls>
            <c:dLbl>
              <c:idx val="0"/>
              <c:layout>
                <c:manualLayout>
                  <c:x val="8.3295512976541228E-3"/>
                  <c:y val="-0.125893646749881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50E-487B-A305-AD12C6A32A72}"/>
                </c:ext>
              </c:extLst>
            </c:dLbl>
            <c:dLbl>
              <c:idx val="1"/>
              <c:layout>
                <c:manualLayout>
                  <c:x val="8.2687405934475048E-3"/>
                  <c:y val="-0.131143004036824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50E-487B-A305-AD12C6A32A72}"/>
                </c:ext>
              </c:extLst>
            </c:dLbl>
            <c:dLbl>
              <c:idx val="2"/>
              <c:layout>
                <c:manualLayout>
                  <c:x val="1.13329322734286E-2"/>
                  <c:y val="-0.125893646749881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50E-487B-A305-AD12C6A32A72}"/>
                </c:ext>
              </c:extLst>
            </c:dLbl>
            <c:dLbl>
              <c:idx val="3"/>
              <c:layout>
                <c:manualLayout>
                  <c:x val="8.1471191850344959E-3"/>
                  <c:y val="-0.131143004036824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50E-487B-A305-AD12C6A32A72}"/>
                </c:ext>
              </c:extLst>
            </c:dLbl>
            <c:dLbl>
              <c:idx val="4"/>
              <c:layout>
                <c:manualLayout>
                  <c:x val="1.7461315633390855E-2"/>
                  <c:y val="-0.133767682680301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50E-487B-A305-AD12C6A32A72}"/>
                </c:ext>
              </c:extLst>
            </c:dLbl>
            <c:dLbl>
              <c:idx val="5"/>
              <c:layout>
                <c:manualLayout>
                  <c:x val="1.2713001352902861E-2"/>
                  <c:y val="-0.131143004036824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50E-487B-A305-AD12C6A32A72}"/>
                </c:ext>
              </c:extLst>
            </c:dLbl>
            <c:dLbl>
              <c:idx val="6"/>
              <c:layout>
                <c:manualLayout>
                  <c:x val="1.4214691840790198E-2"/>
                  <c:y val="-0.131143004036824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50E-487B-A305-AD12C6A32A72}"/>
                </c:ext>
              </c:extLst>
            </c:dLbl>
            <c:dLbl>
              <c:idx val="7"/>
              <c:layout>
                <c:manualLayout>
                  <c:x val="1.5716382328677544E-2"/>
                  <c:y val="-0.131143004036824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50E-487B-A305-AD12C6A32A72}"/>
                </c:ext>
              </c:extLst>
            </c:dLbl>
            <c:dLbl>
              <c:idx val="8"/>
              <c:layout>
                <c:manualLayout>
                  <c:x val="1.721807281656489E-2"/>
                  <c:y val="-0.131143004036824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50E-487B-A305-AD12C6A32A72}"/>
                </c:ext>
              </c:extLst>
            </c:dLbl>
            <c:dLbl>
              <c:idx val="9"/>
              <c:layout>
                <c:manualLayout>
                  <c:x val="1.8719763304452127E-2"/>
                  <c:y val="-0.115394932175994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50E-487B-A305-AD12C6A32A72}"/>
                </c:ext>
              </c:extLst>
            </c:dLbl>
            <c:dLbl>
              <c:idx val="10"/>
              <c:layout>
                <c:manualLayout>
                  <c:x val="2.3346456176527138E-2"/>
                  <c:y val="-0.125893646749881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50E-487B-A305-AD12C6A32A72}"/>
                </c:ext>
              </c:extLst>
            </c:dLbl>
            <c:dLbl>
              <c:idx val="11"/>
              <c:layout>
                <c:manualLayout>
                  <c:x val="2.4848146664415295E-2"/>
                  <c:y val="-0.12064428946294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50E-487B-A305-AD12C6A32A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'STA MARIA-18'!$D$52:$I$52</c:f>
              <c:numCache>
                <c:formatCode>mmm\-yy</c:formatCode>
                <c:ptCount val="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</c:numCache>
            </c:numRef>
          </c:cat>
          <c:val>
            <c:numRef>
              <c:f>'STA MARIA-18'!$D$55:$I$55</c:f>
              <c:numCache>
                <c:formatCode>0%</c:formatCode>
                <c:ptCount val="6"/>
                <c:pt idx="0">
                  <c:v>1.0427435387673956</c:v>
                </c:pt>
                <c:pt idx="1">
                  <c:v>1.0427010923535254</c:v>
                </c:pt>
                <c:pt idx="2">
                  <c:v>1.0426587301587302</c:v>
                </c:pt>
                <c:pt idx="3">
                  <c:v>1.0436507936507937</c:v>
                </c:pt>
                <c:pt idx="4">
                  <c:v>1.0436507936507937</c:v>
                </c:pt>
                <c:pt idx="5">
                  <c:v>1.0435643564356436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6-B50E-487B-A305-AD12C6A32A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84901632"/>
        <c:axId val="184903168"/>
        <c:axId val="183728768"/>
      </c:bar3DChart>
      <c:dateAx>
        <c:axId val="1849016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4903168"/>
        <c:crosses val="autoZero"/>
        <c:auto val="1"/>
        <c:lblOffset val="100"/>
        <c:baseTimeUnit val="months"/>
        <c:majorUnit val="1"/>
        <c:minorUnit val="1"/>
      </c:dateAx>
      <c:valAx>
        <c:axId val="18490316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4901632"/>
        <c:crosses val="autoZero"/>
        <c:crossBetween val="between"/>
      </c:valAx>
      <c:serAx>
        <c:axId val="183728768"/>
        <c:scaling>
          <c:orientation val="minMax"/>
        </c:scaling>
        <c:delete val="1"/>
        <c:axPos val="b"/>
        <c:majorTickMark val="out"/>
        <c:minorTickMark val="none"/>
        <c:tickLblPos val="none"/>
        <c:crossAx val="184903168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1414495039409914E-2"/>
          <c:y val="0.91565633930223456"/>
          <c:w val="0.45625034351737903"/>
          <c:h val="7.3107049608355096E-2"/>
        </c:manualLayout>
      </c:layout>
      <c:overlay val="0"/>
      <c:txPr>
        <a:bodyPr/>
        <a:lstStyle/>
        <a:p>
          <a:pPr>
            <a:defRPr lang="es-ES"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1" l="0.75000000000001465" r="0.75000000000001465" t="1" header="0" footer="0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u="sng"/>
            </a:pPr>
            <a:r>
              <a:rPr lang="es-CO" sz="1200" u="sng"/>
              <a:t>INDICADORES </a:t>
            </a:r>
            <a:r>
              <a:rPr lang="es-CO" sz="1200" u="sng" baseline="0"/>
              <a:t> FACTURACION Y RECAUDO DEL CORRIENTE</a:t>
            </a:r>
          </a:p>
          <a:p>
            <a:pPr>
              <a:defRPr lang="es-ES" u="sng"/>
            </a:pPr>
            <a:r>
              <a:rPr lang="es-CO" sz="1200" u="sng" baseline="0"/>
              <a:t>SANTA MARIA</a:t>
            </a:r>
          </a:p>
          <a:p>
            <a:pPr>
              <a:defRPr lang="es-ES" u="sng"/>
            </a:pPr>
            <a:endParaRPr lang="es-CO" sz="1200" u="sng" baseline="0"/>
          </a:p>
          <a:p>
            <a:pPr>
              <a:defRPr lang="es-ES" u="sng"/>
            </a:pPr>
            <a:endParaRPr lang="es-CO" sz="1200" u="sng"/>
          </a:p>
        </c:rich>
      </c:tx>
      <c:layout>
        <c:manualLayout>
          <c:xMode val="edge"/>
          <c:yMode val="edge"/>
          <c:x val="0.26996884319578351"/>
          <c:y val="3.2303370191111416E-2"/>
        </c:manualLayout>
      </c:layout>
      <c:overlay val="0"/>
    </c:title>
    <c:autoTitleDeleted val="0"/>
    <c:view3D>
      <c:rotX val="90"/>
      <c:rotY val="24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'STA MARIA-18'!$B$43</c:f>
              <c:strCache>
                <c:ptCount val="1"/>
                <c:pt idx="0">
                  <c:v>Total Facturado Corriente</c:v>
                </c:pt>
              </c:strCache>
            </c:strRef>
          </c:tx>
          <c:spPr>
            <a:solidFill>
              <a:srgbClr val="7030A0"/>
            </a:solidFill>
            <a:ln w="6350">
              <a:noFill/>
            </a:ln>
            <a:effectLst>
              <a:innerShdw blurRad="63500" dist="50800" dir="13500000">
                <a:schemeClr val="accent2">
                  <a:lumMod val="60000"/>
                  <a:lumOff val="40000"/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dkEdge">
              <a:bevelT prst="angle"/>
              <a:bevelB w="139700" prst="cross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7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'STA MARIA-18'!$D$42:$O$42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'STA MARIA-18'!$D$43:$O$43</c:f>
              <c:numCache>
                <c:formatCode>_-* #,##0_-;\-* #,##0_-;_-* "-"??_-;_-@_-</c:formatCode>
                <c:ptCount val="12"/>
                <c:pt idx="0">
                  <c:v>21685037</c:v>
                </c:pt>
                <c:pt idx="1">
                  <c:v>19306613</c:v>
                </c:pt>
                <c:pt idx="2">
                  <c:v>20439302</c:v>
                </c:pt>
                <c:pt idx="3">
                  <c:v>21043856</c:v>
                </c:pt>
                <c:pt idx="4">
                  <c:v>20855716</c:v>
                </c:pt>
                <c:pt idx="5">
                  <c:v>20174675</c:v>
                </c:pt>
                <c:pt idx="6">
                  <c:v>22696129</c:v>
                </c:pt>
                <c:pt idx="7">
                  <c:v>22611572</c:v>
                </c:pt>
                <c:pt idx="8">
                  <c:v>21614617</c:v>
                </c:pt>
                <c:pt idx="9">
                  <c:v>16672807</c:v>
                </c:pt>
                <c:pt idx="10">
                  <c:v>20760020</c:v>
                </c:pt>
                <c:pt idx="11">
                  <c:v>19346845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53-4AAB-B366-DE72A3F9AF8A}"/>
            </c:ext>
          </c:extLst>
        </c:ser>
        <c:ser>
          <c:idx val="1"/>
          <c:order val="1"/>
          <c:tx>
            <c:strRef>
              <c:f>'STA MARIA-18'!$B$44</c:f>
              <c:strCache>
                <c:ptCount val="1"/>
                <c:pt idx="0">
                  <c:v>Total Recaudado Corriente</c:v>
                </c:pt>
              </c:strCache>
            </c:strRef>
          </c:tx>
          <c:spPr>
            <a:solidFill>
              <a:srgbClr val="B91777"/>
            </a:solidFill>
            <a:ln w="12700" cmpd="sng">
              <a:noFill/>
            </a:ln>
            <a:effectLst>
              <a:innerShdw blurRad="63500" dist="50800" dir="10560000">
                <a:srgbClr val="7030A0">
                  <a:alpha val="50000"/>
                </a:srgbClr>
              </a:innerShdw>
            </a:effectLst>
            <a:scene3d>
              <a:camera prst="orthographicFront"/>
              <a:lightRig rig="threePt" dir="t"/>
            </a:scene3d>
            <a:sp3d prstMaterial="dkEdge">
              <a:bevelT prst="relaxedInset"/>
              <a:bevelB w="44450" h="50800" prst="coolSlant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7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'STA MARIA-18'!$D$42:$O$42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'STA MARIA-18'!$D$44:$O$44</c:f>
              <c:numCache>
                <c:formatCode>_-* #,##0_-;\-* #,##0_-;_-* "-"??_-;_-@_-</c:formatCode>
                <c:ptCount val="12"/>
                <c:pt idx="0">
                  <c:v>19503200</c:v>
                </c:pt>
                <c:pt idx="1">
                  <c:v>13386505</c:v>
                </c:pt>
                <c:pt idx="2">
                  <c:v>17872120</c:v>
                </c:pt>
                <c:pt idx="3">
                  <c:v>19150649</c:v>
                </c:pt>
                <c:pt idx="4">
                  <c:v>18299300</c:v>
                </c:pt>
                <c:pt idx="5">
                  <c:v>18216692</c:v>
                </c:pt>
                <c:pt idx="6">
                  <c:v>19696601</c:v>
                </c:pt>
                <c:pt idx="7">
                  <c:v>17839903</c:v>
                </c:pt>
                <c:pt idx="8">
                  <c:v>20891522</c:v>
                </c:pt>
                <c:pt idx="9">
                  <c:v>17748631</c:v>
                </c:pt>
                <c:pt idx="10">
                  <c:v>17023973</c:v>
                </c:pt>
                <c:pt idx="11">
                  <c:v>17485762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53-4AAB-B366-DE72A3F9A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4657024"/>
        <c:axId val="184658560"/>
        <c:axId val="0"/>
      </c:bar3DChart>
      <c:dateAx>
        <c:axId val="1846570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lang="es-ES" b="1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CO"/>
          </a:p>
        </c:txPr>
        <c:crossAx val="184658560"/>
        <c:crosses val="autoZero"/>
        <c:auto val="1"/>
        <c:lblOffset val="100"/>
        <c:baseTimeUnit val="months"/>
      </c:dateAx>
      <c:valAx>
        <c:axId val="184658560"/>
        <c:scaling>
          <c:orientation val="minMax"/>
        </c:scaling>
        <c:delete val="0"/>
        <c:axPos val="l"/>
        <c:majorGridlines>
          <c:spPr>
            <a:ln>
              <a:solidFill>
                <a:schemeClr val="accent4">
                  <a:lumMod val="75000"/>
                </a:schemeClr>
              </a:solidFill>
            </a:ln>
          </c:spPr>
        </c:majorGridlines>
        <c:numFmt formatCode="_-* #,##0_-;\-* #,##0_-;_-* &quot;-&quot;??_-;_-@_-" sourceLinked="1"/>
        <c:majorTickMark val="none"/>
        <c:minorTickMark val="none"/>
        <c:tickLblPos val="nextTo"/>
        <c:txPr>
          <a:bodyPr/>
          <a:lstStyle/>
          <a:p>
            <a:pPr>
              <a:defRPr lang="es-ES" b="1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CO"/>
          </a:p>
        </c:txPr>
        <c:crossAx val="184657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645433344828918"/>
          <c:y val="0.48162721703818839"/>
          <c:w val="0.32381168629406193"/>
          <c:h val="0.12988053264102942"/>
        </c:manualLayout>
      </c:layout>
      <c:overlay val="0"/>
      <c:spPr>
        <a:ln>
          <a:noFill/>
        </a:ln>
      </c:spPr>
      <c:txPr>
        <a:bodyPr/>
        <a:lstStyle/>
        <a:p>
          <a:pPr>
            <a:defRPr lang="es-ES" sz="1000" b="1">
              <a:latin typeface="Tahoma" pitchFamily="34" charset="0"/>
              <a:ea typeface="Tahoma" pitchFamily="34" charset="0"/>
              <a:cs typeface="Tahoma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gradFill>
      <a:gsLst>
        <a:gs pos="0">
          <a:srgbClr val="8064A2">
            <a:lumMod val="75000"/>
          </a:srgbClr>
        </a:gs>
        <a:gs pos="51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7200000" scaled="0"/>
    </a:gradFill>
    <a:ln cap="rnd" cmpd="sng">
      <a:solidFill>
        <a:srgbClr val="7030A0"/>
      </a:solidFill>
    </a:ln>
    <a:effectLst>
      <a:innerShdw blurRad="584200" dist="660400" dir="18600000">
        <a:srgbClr val="FFFF00">
          <a:alpha val="72000"/>
        </a:srgbClr>
      </a:innerShdw>
    </a:effectLst>
    <a:scene3d>
      <a:camera prst="orthographicFront"/>
      <a:lightRig rig="threePt" dir="t"/>
    </a:scene3d>
    <a:sp3d>
      <a:bevelT w="254000" prst="relaxedInset"/>
      <a:bevelB w="82550" h="222250" prst="angle"/>
    </a:sp3d>
  </c:sp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u="sng"/>
            </a:pPr>
            <a:r>
              <a:rPr lang="es-CO" sz="1200" u="sng"/>
              <a:t>INDICADORES </a:t>
            </a:r>
            <a:r>
              <a:rPr lang="es-CO" sz="1200" u="sng" baseline="0"/>
              <a:t> FACTURACION Y RECAUDO DE LA DEUDA</a:t>
            </a:r>
          </a:p>
          <a:p>
            <a:pPr>
              <a:defRPr lang="es-ES" u="sng"/>
            </a:pPr>
            <a:r>
              <a:rPr lang="es-CO" sz="1200" u="sng" baseline="0"/>
              <a:t>SANTA MARIA</a:t>
            </a:r>
          </a:p>
          <a:p>
            <a:pPr>
              <a:defRPr lang="es-ES" u="sng"/>
            </a:pPr>
            <a:endParaRPr lang="es-CO" sz="1200" u="sng" baseline="0"/>
          </a:p>
          <a:p>
            <a:pPr>
              <a:defRPr lang="es-ES" u="sng"/>
            </a:pPr>
            <a:endParaRPr lang="es-CO" sz="1200" u="sng"/>
          </a:p>
        </c:rich>
      </c:tx>
      <c:layout>
        <c:manualLayout>
          <c:xMode val="edge"/>
          <c:yMode val="edge"/>
          <c:x val="0.26996884319578363"/>
          <c:y val="3.2303370191111416E-2"/>
        </c:manualLayout>
      </c:layout>
      <c:overlay val="0"/>
    </c:title>
    <c:autoTitleDeleted val="0"/>
    <c:view3D>
      <c:rotX val="90"/>
      <c:rotY val="24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'STA MARIA-18'!$B$46</c:f>
              <c:strCache>
                <c:ptCount val="1"/>
                <c:pt idx="0">
                  <c:v>Total Facturado deuda</c:v>
                </c:pt>
              </c:strCache>
            </c:strRef>
          </c:tx>
          <c:spPr>
            <a:solidFill>
              <a:srgbClr val="7030A0"/>
            </a:solidFill>
            <a:ln w="6350">
              <a:noFill/>
            </a:ln>
            <a:effectLst>
              <a:innerShdw blurRad="63500" dist="50800" dir="13500000">
                <a:schemeClr val="accent2">
                  <a:lumMod val="60000"/>
                  <a:lumOff val="40000"/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dkEdge">
              <a:bevelT prst="angle"/>
              <a:bevelB w="139700" prst="cross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7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'STA MARIA-18'!$D$45:$O$45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'STA MARIA-18'!$D$46:$O$46</c:f>
              <c:numCache>
                <c:formatCode>_-* #,##0_-;\-* #,##0_-;_-* "-"??_-;_-@_-</c:formatCode>
                <c:ptCount val="12"/>
                <c:pt idx="0">
                  <c:v>14979200</c:v>
                </c:pt>
                <c:pt idx="1">
                  <c:v>16982687</c:v>
                </c:pt>
                <c:pt idx="2">
                  <c:v>17644550</c:v>
                </c:pt>
                <c:pt idx="3">
                  <c:v>18478802</c:v>
                </c:pt>
                <c:pt idx="4">
                  <c:v>18096158</c:v>
                </c:pt>
                <c:pt idx="5">
                  <c:v>19289174</c:v>
                </c:pt>
                <c:pt idx="6">
                  <c:v>19359199</c:v>
                </c:pt>
                <c:pt idx="7">
                  <c:v>20894178</c:v>
                </c:pt>
                <c:pt idx="8">
                  <c:v>21259500</c:v>
                </c:pt>
                <c:pt idx="9">
                  <c:v>13533127</c:v>
                </c:pt>
                <c:pt idx="10">
                  <c:v>11220617</c:v>
                </c:pt>
                <c:pt idx="11">
                  <c:v>13227437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04-4A8F-857C-2125145AE352}"/>
            </c:ext>
          </c:extLst>
        </c:ser>
        <c:ser>
          <c:idx val="1"/>
          <c:order val="1"/>
          <c:tx>
            <c:strRef>
              <c:f>'STA MARIA-18'!$B$47</c:f>
              <c:strCache>
                <c:ptCount val="1"/>
                <c:pt idx="0">
                  <c:v>Total Recaudado deuda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7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'STA MARIA-18'!$D$45:$O$45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'STA MARIA-18'!$D$47:$O$47</c:f>
              <c:numCache>
                <c:formatCode>_-* #,##0_-;\-* #,##0_-;_-* "-"??_-;_-@_-</c:formatCode>
                <c:ptCount val="12"/>
                <c:pt idx="0">
                  <c:v>178350</c:v>
                </c:pt>
                <c:pt idx="1">
                  <c:v>1530287</c:v>
                </c:pt>
                <c:pt idx="2">
                  <c:v>1845330</c:v>
                </c:pt>
                <c:pt idx="3">
                  <c:v>2274601</c:v>
                </c:pt>
                <c:pt idx="4">
                  <c:v>1292800</c:v>
                </c:pt>
                <c:pt idx="5">
                  <c:v>1958558</c:v>
                </c:pt>
                <c:pt idx="6">
                  <c:v>1464549</c:v>
                </c:pt>
                <c:pt idx="7">
                  <c:v>2401397</c:v>
                </c:pt>
                <c:pt idx="8">
                  <c:v>2256678</c:v>
                </c:pt>
                <c:pt idx="9">
                  <c:v>4104069</c:v>
                </c:pt>
                <c:pt idx="10">
                  <c:v>1726227</c:v>
                </c:pt>
                <c:pt idx="11">
                  <c:v>3609370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504-4A8F-857C-2125145AE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4772096"/>
        <c:axId val="184773632"/>
        <c:axId val="0"/>
      </c:bar3DChart>
      <c:dateAx>
        <c:axId val="184772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lang="es-ES" b="1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CO"/>
          </a:p>
        </c:txPr>
        <c:crossAx val="184773632"/>
        <c:crosses val="autoZero"/>
        <c:auto val="1"/>
        <c:lblOffset val="100"/>
        <c:baseTimeUnit val="months"/>
      </c:dateAx>
      <c:valAx>
        <c:axId val="184773632"/>
        <c:scaling>
          <c:orientation val="minMax"/>
        </c:scaling>
        <c:delete val="0"/>
        <c:axPos val="l"/>
        <c:majorGridlines>
          <c:spPr>
            <a:ln>
              <a:solidFill>
                <a:schemeClr val="accent4">
                  <a:lumMod val="75000"/>
                </a:schemeClr>
              </a:solidFill>
            </a:ln>
          </c:spPr>
        </c:majorGridlines>
        <c:numFmt formatCode="_-* #,##0_-;\-* #,##0_-;_-* &quot;-&quot;??_-;_-@_-" sourceLinked="1"/>
        <c:majorTickMark val="none"/>
        <c:minorTickMark val="none"/>
        <c:tickLblPos val="nextTo"/>
        <c:txPr>
          <a:bodyPr/>
          <a:lstStyle/>
          <a:p>
            <a:pPr>
              <a:defRPr lang="es-ES" b="1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CO"/>
          </a:p>
        </c:txPr>
        <c:crossAx val="184772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331335328748167"/>
          <c:y val="0.48162721703818839"/>
          <c:w val="0.28530913415694042"/>
          <c:h val="9.6637524391800747E-2"/>
        </c:manualLayout>
      </c:layout>
      <c:overlay val="0"/>
      <c:spPr>
        <a:ln>
          <a:noFill/>
        </a:ln>
      </c:spPr>
      <c:txPr>
        <a:bodyPr/>
        <a:lstStyle/>
        <a:p>
          <a:pPr>
            <a:defRPr lang="es-ES" sz="1000" b="1">
              <a:latin typeface="Tahoma" pitchFamily="34" charset="0"/>
              <a:ea typeface="Tahoma" pitchFamily="34" charset="0"/>
              <a:cs typeface="Tahoma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gradFill>
      <a:gsLst>
        <a:gs pos="0">
          <a:srgbClr val="8064A2">
            <a:lumMod val="75000"/>
          </a:srgbClr>
        </a:gs>
        <a:gs pos="51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7200000" scaled="0"/>
    </a:gradFill>
    <a:ln cap="rnd" cmpd="sng">
      <a:solidFill>
        <a:srgbClr val="7030A0"/>
      </a:solidFill>
    </a:ln>
    <a:effectLst>
      <a:innerShdw blurRad="584200" dist="660400" dir="18600000">
        <a:srgbClr val="FFFF00">
          <a:alpha val="72000"/>
        </a:srgbClr>
      </a:innerShdw>
    </a:effectLst>
    <a:scene3d>
      <a:camera prst="orthographicFront"/>
      <a:lightRig rig="threePt" dir="t"/>
    </a:scene3d>
    <a:sp3d>
      <a:bevelT w="254000" prst="relaxedInset"/>
      <a:bevelB w="82550" h="222250" prst="angle"/>
    </a:sp3d>
  </c:sp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CO"/>
        </a:p>
      </c:tx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14659319150496"/>
          <c:y val="0.18542833187518334"/>
          <c:w val="0.56482849021698234"/>
          <c:h val="0.6827158063575410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'STA MARIA-18'!$B$57</c:f>
              <c:strCache>
                <c:ptCount val="1"/>
                <c:pt idx="0">
                  <c:v>Índice de Agua No Contabilizada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'STA MARIA-18'!$C$52:$O$52</c:f>
              <c:strCache>
                <c:ptCount val="13"/>
                <c:pt idx="0">
                  <c:v>Unidad</c:v>
                </c:pt>
                <c:pt idx="1">
                  <c:v>ene-18</c:v>
                </c:pt>
                <c:pt idx="2">
                  <c:v>feb-18</c:v>
                </c:pt>
                <c:pt idx="3">
                  <c:v>mar-18</c:v>
                </c:pt>
                <c:pt idx="4">
                  <c:v>abr-18</c:v>
                </c:pt>
                <c:pt idx="5">
                  <c:v>may-18</c:v>
                </c:pt>
                <c:pt idx="6">
                  <c:v>jun-18</c:v>
                </c:pt>
                <c:pt idx="7">
                  <c:v>jul-18</c:v>
                </c:pt>
                <c:pt idx="8">
                  <c:v>ago-18</c:v>
                </c:pt>
                <c:pt idx="9">
                  <c:v>sept-18</c:v>
                </c:pt>
                <c:pt idx="10">
                  <c:v>oct-18</c:v>
                </c:pt>
                <c:pt idx="11">
                  <c:v>nov-18</c:v>
                </c:pt>
                <c:pt idx="12">
                  <c:v>dic-18</c:v>
                </c:pt>
              </c:strCache>
            </c:strRef>
          </c:cat>
          <c:val>
            <c:numRef>
              <c:f>'STA MARIA-18'!$C$57:$O$57</c:f>
              <c:numCache>
                <c:formatCode>0.00%</c:formatCode>
                <c:ptCount val="13"/>
                <c:pt idx="0" formatCode="General">
                  <c:v>0</c:v>
                </c:pt>
                <c:pt idx="1">
                  <c:v>0.48330000000000001</c:v>
                </c:pt>
                <c:pt idx="2">
                  <c:v>0.54520000000000002</c:v>
                </c:pt>
                <c:pt idx="3">
                  <c:v>0.5393</c:v>
                </c:pt>
                <c:pt idx="4">
                  <c:v>0.50349999999999995</c:v>
                </c:pt>
                <c:pt idx="5">
                  <c:v>0.49440000000000001</c:v>
                </c:pt>
                <c:pt idx="6">
                  <c:v>0.51060000000000005</c:v>
                </c:pt>
                <c:pt idx="7">
                  <c:v>0.435</c:v>
                </c:pt>
                <c:pt idx="8">
                  <c:v>0.48180000000000001</c:v>
                </c:pt>
                <c:pt idx="9">
                  <c:v>0.48930000000000001</c:v>
                </c:pt>
                <c:pt idx="10">
                  <c:v>0.49</c:v>
                </c:pt>
                <c:pt idx="11">
                  <c:v>0.38779999999999998</c:v>
                </c:pt>
                <c:pt idx="12">
                  <c:v>0.46729999999999999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67-400C-8E85-7B58B88C4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4799616"/>
        <c:axId val="184801152"/>
        <c:axId val="0"/>
      </c:bar3DChart>
      <c:catAx>
        <c:axId val="1847996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s-ES" sz="800" baseline="0"/>
            </a:pPr>
            <a:endParaRPr lang="es-CO"/>
          </a:p>
        </c:txPr>
        <c:crossAx val="184801152"/>
        <c:crosses val="autoZero"/>
        <c:auto val="1"/>
        <c:lblAlgn val="ctr"/>
        <c:lblOffset val="100"/>
        <c:noMultiLvlLbl val="1"/>
      </c:catAx>
      <c:valAx>
        <c:axId val="184801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84799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465097283721053"/>
          <c:y val="0.50187299504228444"/>
          <c:w val="0.21534902716278995"/>
          <c:h val="0.13965660542432196"/>
        </c:manualLayout>
      </c:layout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'02'!$A$16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'02'!$C$14:$N$14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'02'!$C$16:$N$16</c:f>
              <c:numCache>
                <c:formatCode>0.0%</c:formatCode>
                <c:ptCount val="12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A2-44F8-A1BF-9D4BA49905AC}"/>
            </c:ext>
          </c:extLst>
        </c:ser>
        <c:ser>
          <c:idx val="1"/>
          <c:order val="1"/>
          <c:tx>
            <c:strRef>
              <c:f>'02'!$A$17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'02'!$C$14:$N$14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'02'!$C$17:$N$17</c:f>
              <c:numCache>
                <c:formatCode>0.0%</c:formatCode>
                <c:ptCount val="12"/>
                <c:pt idx="0">
                  <c:v>0.53680511611355775</c:v>
                </c:pt>
                <c:pt idx="1">
                  <c:v>0.50992992424764327</c:v>
                </c:pt>
                <c:pt idx="2">
                  <c:v>0.51773780656431501</c:v>
                </c:pt>
                <c:pt idx="3">
                  <c:v>0.5421004326176645</c:v>
                </c:pt>
                <c:pt idx="4">
                  <c:v>0.50298221851919112</c:v>
                </c:pt>
                <c:pt idx="5">
                  <c:v>0.51123371164328146</c:v>
                </c:pt>
                <c:pt idx="6">
                  <c:v>0.50317405680440774</c:v>
                </c:pt>
                <c:pt idx="7">
                  <c:v>0.46525574205708442</c:v>
                </c:pt>
                <c:pt idx="8">
                  <c:v>0.5399108277845116</c:v>
                </c:pt>
                <c:pt idx="9">
                  <c:v>0.72345718559803518</c:v>
                </c:pt>
                <c:pt idx="10">
                  <c:v>0.58629851556740409</c:v>
                </c:pt>
                <c:pt idx="11">
                  <c:v>0.64760082816253628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A2-44F8-A1BF-9D4BA4990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820032"/>
        <c:axId val="179821568"/>
      </c:lineChart>
      <c:catAx>
        <c:axId val="179820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79821568"/>
        <c:crosses val="autoZero"/>
        <c:auto val="1"/>
        <c:lblAlgn val="ctr"/>
        <c:lblOffset val="100"/>
        <c:noMultiLvlLbl val="0"/>
      </c:catAx>
      <c:valAx>
        <c:axId val="17982156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798200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877" l="0.70000000000000062" r="0.70000000000000062" t="0.75000000000000877" header="0.30000000000000032" footer="0.30000000000000032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'03'!$A$16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'03'!$C$14:$N$14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'03'!$C$16:$N$16</c:f>
              <c:numCache>
                <c:formatCode>#,##0</c:formatCode>
                <c:ptCount val="12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755-41CE-898F-6F09366163AD}"/>
            </c:ext>
          </c:extLst>
        </c:ser>
        <c:ser>
          <c:idx val="1"/>
          <c:order val="1"/>
          <c:tx>
            <c:strRef>
              <c:f>'03'!$A$17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'03'!$C$14:$N$14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'03'!$C$17:$N$17</c:f>
              <c:numCache>
                <c:formatCode>#,##0</c:formatCode>
                <c:ptCount val="12"/>
                <c:pt idx="0">
                  <c:v>23.494569550423179</c:v>
                </c:pt>
                <c:pt idx="1">
                  <c:v>26.031106335070678</c:v>
                </c:pt>
                <c:pt idx="2">
                  <c:v>26.907871784243223</c:v>
                </c:pt>
                <c:pt idx="3">
                  <c:v>26.331543081615902</c:v>
                </c:pt>
                <c:pt idx="4">
                  <c:v>28.103661798908522</c:v>
                </c:pt>
                <c:pt idx="5">
                  <c:v>28.111754388574361</c:v>
                </c:pt>
                <c:pt idx="6">
                  <c:v>31.441021931073021</c:v>
                </c:pt>
                <c:pt idx="7">
                  <c:v>34.453009811453981</c:v>
                </c:pt>
                <c:pt idx="8">
                  <c:v>29.004509679134237</c:v>
                </c:pt>
                <c:pt idx="9">
                  <c:v>12.503614142100522</c:v>
                </c:pt>
                <c:pt idx="10">
                  <c:v>19.16105335994753</c:v>
                </c:pt>
                <c:pt idx="11">
                  <c:v>16.948899289494371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755-41CE-898F-6F0936616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290880"/>
        <c:axId val="179292416"/>
      </c:lineChart>
      <c:catAx>
        <c:axId val="179290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79292416"/>
        <c:crosses val="autoZero"/>
        <c:auto val="1"/>
        <c:lblAlgn val="ctr"/>
        <c:lblOffset val="100"/>
        <c:noMultiLvlLbl val="0"/>
      </c:catAx>
      <c:valAx>
        <c:axId val="1792924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792908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899" l="0.70000000000000062" r="0.70000000000000062" t="0.75000000000000899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'04'!$A$16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'04'!$C$14:$N$14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'04'!$C$16:$N$16</c:f>
              <c:numCache>
                <c:formatCode>0.0%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1AA-41C3-869C-C007C884B8B4}"/>
            </c:ext>
          </c:extLst>
        </c:ser>
        <c:ser>
          <c:idx val="1"/>
          <c:order val="1"/>
          <c:tx>
            <c:strRef>
              <c:f>'04'!$A$17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'04'!$C$14:$N$14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'04'!$C$17:$N$17</c:f>
              <c:numCache>
                <c:formatCode>0.0%</c:formatCode>
                <c:ptCount val="12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1AA-41C3-869C-C007C884B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908608"/>
        <c:axId val="179910144"/>
      </c:lineChart>
      <c:catAx>
        <c:axId val="179908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79910144"/>
        <c:crosses val="autoZero"/>
        <c:auto val="1"/>
        <c:lblAlgn val="ctr"/>
        <c:lblOffset val="100"/>
        <c:noMultiLvlLbl val="0"/>
      </c:catAx>
      <c:valAx>
        <c:axId val="17991014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799086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899" l="0.70000000000000062" r="0.70000000000000062" t="0.75000000000000899" header="0.30000000000000032" footer="0.30000000000000032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063710138864098E-2"/>
          <c:y val="7.0393528677767742E-2"/>
          <c:w val="0.65756217624414337"/>
          <c:h val="0.8088997891656986"/>
        </c:manualLayout>
      </c:layout>
      <c:lineChart>
        <c:grouping val="standard"/>
        <c:varyColors val="0"/>
        <c:ser>
          <c:idx val="0"/>
          <c:order val="0"/>
          <c:tx>
            <c:strRef>
              <c:f>'05'!$A$16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'05'!$C$14:$N$14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'05'!$C$16:$N$16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265-4FE9-A7CE-9D2C688CF9E6}"/>
            </c:ext>
          </c:extLst>
        </c:ser>
        <c:ser>
          <c:idx val="1"/>
          <c:order val="1"/>
          <c:tx>
            <c:strRef>
              <c:f>'05'!$A$17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'05'!$C$14:$N$14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'05'!$C$17:$N$17</c:f>
              <c:numCache>
                <c:formatCode>0.0%</c:formatCode>
                <c:ptCount val="12"/>
                <c:pt idx="0">
                  <c:v>0.98707753479125249</c:v>
                </c:pt>
                <c:pt idx="1">
                  <c:v>0.98709036742800393</c:v>
                </c:pt>
                <c:pt idx="2">
                  <c:v>0.98710317460317465</c:v>
                </c:pt>
                <c:pt idx="3">
                  <c:v>0.98710317460317465</c:v>
                </c:pt>
                <c:pt idx="4">
                  <c:v>0.98710317460317465</c:v>
                </c:pt>
                <c:pt idx="5">
                  <c:v>0.98712871287128712</c:v>
                </c:pt>
                <c:pt idx="6">
                  <c:v>0.98715415019762842</c:v>
                </c:pt>
                <c:pt idx="7">
                  <c:v>0.98725490196078436</c:v>
                </c:pt>
                <c:pt idx="8">
                  <c:v>0.98727984344422703</c:v>
                </c:pt>
                <c:pt idx="9">
                  <c:v>0.98729227761485827</c:v>
                </c:pt>
                <c:pt idx="10">
                  <c:v>0.9873170731707317</c:v>
                </c:pt>
                <c:pt idx="11">
                  <c:v>0.98734177215189878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265-4FE9-A7CE-9D2C688CF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62592"/>
        <c:axId val="131664128"/>
      </c:lineChart>
      <c:catAx>
        <c:axId val="13166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31664128"/>
        <c:crosses val="autoZero"/>
        <c:auto val="1"/>
        <c:lblAlgn val="ctr"/>
        <c:lblOffset val="100"/>
        <c:noMultiLvlLbl val="0"/>
      </c:catAx>
      <c:valAx>
        <c:axId val="1316641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316625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921" l="0.70000000000000062" r="0.70000000000000062" t="0.75000000000000921" header="0.30000000000000032" footer="0.30000000000000032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'06'!$A$16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'06'!$C$14:$N$14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'06'!$C$16:$N$16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23-4612-8F23-0F09B6CC1C7D}"/>
            </c:ext>
          </c:extLst>
        </c:ser>
        <c:ser>
          <c:idx val="1"/>
          <c:order val="1"/>
          <c:tx>
            <c:strRef>
              <c:f>'06'!$A$17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'06'!$C$14:$N$14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'06'!$C$17:$N$17</c:f>
              <c:numCache>
                <c:formatCode>0.0%</c:formatCode>
                <c:ptCount val="12"/>
                <c:pt idx="0">
                  <c:v>1.0218687872763419</c:v>
                </c:pt>
                <c:pt idx="1">
                  <c:v>1.0208540218470705</c:v>
                </c:pt>
                <c:pt idx="2">
                  <c:v>1.0208333333333333</c:v>
                </c:pt>
                <c:pt idx="3">
                  <c:v>1.0218253968253967</c:v>
                </c:pt>
                <c:pt idx="4">
                  <c:v>1.0218253968253967</c:v>
                </c:pt>
                <c:pt idx="5">
                  <c:v>1.0217821782178218</c:v>
                </c:pt>
                <c:pt idx="6">
                  <c:v>1.0217391304347827</c:v>
                </c:pt>
                <c:pt idx="7">
                  <c:v>1.0215686274509803</c:v>
                </c:pt>
                <c:pt idx="8">
                  <c:v>1.0215264187866928</c:v>
                </c:pt>
                <c:pt idx="9">
                  <c:v>1.021505376344086</c:v>
                </c:pt>
                <c:pt idx="10">
                  <c:v>1.0224390243902439</c:v>
                </c:pt>
                <c:pt idx="11">
                  <c:v>1.0223953261927945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23-4612-8F23-0F09B6CC1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51936"/>
        <c:axId val="131753472"/>
      </c:lineChart>
      <c:catAx>
        <c:axId val="131751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31753472"/>
        <c:crosses val="autoZero"/>
        <c:auto val="1"/>
        <c:lblAlgn val="ctr"/>
        <c:lblOffset val="100"/>
        <c:noMultiLvlLbl val="0"/>
      </c:catAx>
      <c:valAx>
        <c:axId val="1317534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317519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855" l="0.70000000000000062" r="0.70000000000000062" t="0.75000000000000855" header="0.30000000000000032" footer="0.30000000000000032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'07'!$A$16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'07'!$C$14:$N$14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'07'!$C$16:$N$16</c:f>
              <c:numCache>
                <c:formatCode>0.0%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EE1-4A68-A05E-8F58B12D80BB}"/>
            </c:ext>
          </c:extLst>
        </c:ser>
        <c:ser>
          <c:idx val="1"/>
          <c:order val="1"/>
          <c:tx>
            <c:strRef>
              <c:f>'07'!$A$17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'07'!$C$14:$N$14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'07'!$C$17:$N$17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EE1-4A68-A05E-8F58B12D8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935232"/>
        <c:axId val="131937024"/>
      </c:lineChart>
      <c:catAx>
        <c:axId val="13193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31937024"/>
        <c:crosses val="autoZero"/>
        <c:auto val="1"/>
        <c:lblAlgn val="ctr"/>
        <c:lblOffset val="100"/>
        <c:noMultiLvlLbl val="0"/>
      </c:catAx>
      <c:valAx>
        <c:axId val="13193702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319352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899" l="0.70000000000000062" r="0.70000000000000062" t="0.75000000000000899" header="0.30000000000000032" footer="0.30000000000000032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'08'!$A$16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'08'!$C$14:$N$14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'08'!$C$16:$N$16</c:f>
              <c:numCache>
                <c:formatCode>0.0%</c:formatCode>
                <c:ptCount val="12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  <c:pt idx="10">
                  <c:v>0.95</c:v>
                </c:pt>
                <c:pt idx="11">
                  <c:v>0.95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97D-4ED5-B8B7-7063C5513623}"/>
            </c:ext>
          </c:extLst>
        </c:ser>
        <c:ser>
          <c:idx val="1"/>
          <c:order val="1"/>
          <c:tx>
            <c:strRef>
              <c:f>'08'!$A$17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'08'!$C$14:$N$14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'08'!$C$17:$N$17</c:f>
              <c:numCache>
                <c:formatCode>0.0%</c:formatCode>
                <c:ptCount val="12"/>
                <c:pt idx="0">
                  <c:v>0.93252769385699896</c:v>
                </c:pt>
                <c:pt idx="1">
                  <c:v>0.93863179074446679</c:v>
                </c:pt>
                <c:pt idx="2">
                  <c:v>0.94170854271356785</c:v>
                </c:pt>
                <c:pt idx="3">
                  <c:v>0.94572864321608041</c:v>
                </c:pt>
                <c:pt idx="4">
                  <c:v>0.94974874371859297</c:v>
                </c:pt>
                <c:pt idx="5">
                  <c:v>0.94984954864593785</c:v>
                </c:pt>
                <c:pt idx="6">
                  <c:v>0.94194194194194192</c:v>
                </c:pt>
                <c:pt idx="7">
                  <c:v>0.94935451837140017</c:v>
                </c:pt>
                <c:pt idx="8">
                  <c:v>0.95242814667988107</c:v>
                </c:pt>
                <c:pt idx="9">
                  <c:v>0.95841584158415838</c:v>
                </c:pt>
                <c:pt idx="10">
                  <c:v>0.9555335968379447</c:v>
                </c:pt>
                <c:pt idx="11">
                  <c:v>0.95069033530571989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7D-4ED5-B8B7-7063C5513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885312"/>
        <c:axId val="131907584"/>
      </c:lineChart>
      <c:catAx>
        <c:axId val="131885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31907584"/>
        <c:crosses val="autoZero"/>
        <c:auto val="1"/>
        <c:lblAlgn val="ctr"/>
        <c:lblOffset val="100"/>
        <c:noMultiLvlLbl val="0"/>
      </c:catAx>
      <c:valAx>
        <c:axId val="13190758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318853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921" l="0.70000000000000062" r="0.70000000000000062" t="0.75000000000000921" header="0.30000000000000032" footer="0.30000000000000032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'09'!$A$16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'09'!$C$14:$N$14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'09'!$C$16:$N$16</c:f>
              <c:numCache>
                <c:formatCode>0.0%</c:formatCode>
                <c:ptCount val="12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AA6-4D57-A073-274827055C42}"/>
            </c:ext>
          </c:extLst>
        </c:ser>
        <c:ser>
          <c:idx val="1"/>
          <c:order val="1"/>
          <c:tx>
            <c:strRef>
              <c:f>'09'!$A$17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'09'!$C$14:$N$14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'09'!$C$17:$N$17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AA6-4D57-A073-274827055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907392"/>
        <c:axId val="132686976"/>
      </c:lineChart>
      <c:catAx>
        <c:axId val="180907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32686976"/>
        <c:crosses val="autoZero"/>
        <c:auto val="1"/>
        <c:lblAlgn val="ctr"/>
        <c:lblOffset val="100"/>
        <c:noMultiLvlLbl val="0"/>
      </c:catAx>
      <c:valAx>
        <c:axId val="13268697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809073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855" l="0.70000000000000062" r="0.70000000000000062" t="0.75000000000000855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57150</xdr:rowOff>
    </xdr:from>
    <xdr:to>
      <xdr:col>2</xdr:col>
      <xdr:colOff>495300</xdr:colOff>
      <xdr:row>1</xdr:row>
      <xdr:rowOff>114300</xdr:rowOff>
    </xdr:to>
    <xdr:pic>
      <xdr:nvPicPr>
        <xdr:cNvPr id="1030" name="Picture 6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57150"/>
          <a:ext cx="94297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12291" name="Picture 3">
          <a:extLst>
            <a:ext uri="{FF2B5EF4-FFF2-40B4-BE49-F238E27FC236}">
              <a16:creationId xmlns="" xmlns:a16="http://schemas.microsoft.com/office/drawing/2014/main" id="{00000000-0008-0000-0900-000003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13314" name="Picture 2">
          <a:extLst>
            <a:ext uri="{FF2B5EF4-FFF2-40B4-BE49-F238E27FC236}">
              <a16:creationId xmlns="" xmlns:a16="http://schemas.microsoft.com/office/drawing/2014/main" id="{00000000-0008-0000-0A00-00000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14338" name="Picture 2">
          <a:extLst>
            <a:ext uri="{FF2B5EF4-FFF2-40B4-BE49-F238E27FC236}">
              <a16:creationId xmlns="" xmlns:a16="http://schemas.microsoft.com/office/drawing/2014/main" id="{00000000-0008-0000-0B00-00000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15362" name="Picture 2">
          <a:extLst>
            <a:ext uri="{FF2B5EF4-FFF2-40B4-BE49-F238E27FC236}">
              <a16:creationId xmlns="" xmlns:a16="http://schemas.microsoft.com/office/drawing/2014/main" id="{00000000-0008-0000-0C00-000002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19458" name="Picture 2">
          <a:extLst>
            <a:ext uri="{FF2B5EF4-FFF2-40B4-BE49-F238E27FC236}">
              <a16:creationId xmlns="" xmlns:a16="http://schemas.microsoft.com/office/drawing/2014/main" id="{00000000-0008-0000-0D00-000002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16386" name="Picture 2">
          <a:extLst>
            <a:ext uri="{FF2B5EF4-FFF2-40B4-BE49-F238E27FC236}">
              <a16:creationId xmlns="" xmlns:a16="http://schemas.microsoft.com/office/drawing/2014/main" id="{00000000-0008-0000-0E00-000002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71</xdr:row>
      <xdr:rowOff>114300</xdr:rowOff>
    </xdr:from>
    <xdr:to>
      <xdr:col>4</xdr:col>
      <xdr:colOff>714374</xdr:colOff>
      <xdr:row>94</xdr:row>
      <xdr:rowOff>76200</xdr:rowOff>
    </xdr:to>
    <xdr:graphicFrame macro="">
      <xdr:nvGraphicFramePr>
        <xdr:cNvPr id="2" name="Chart 28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354496</xdr:colOff>
      <xdr:row>96</xdr:row>
      <xdr:rowOff>66261</xdr:rowOff>
    </xdr:from>
    <xdr:to>
      <xdr:col>6</xdr:col>
      <xdr:colOff>695325</xdr:colOff>
      <xdr:row>124</xdr:row>
      <xdr:rowOff>145774</xdr:rowOff>
    </xdr:to>
    <xdr:graphicFrame macro="">
      <xdr:nvGraphicFramePr>
        <xdr:cNvPr id="3" name="3 Gráfico">
          <a:extLst>
            <a:ext uri="{FF2B5EF4-FFF2-40B4-BE49-F238E27FC236}">
              <a16:creationId xmlns=""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447674</xdr:colOff>
      <xdr:row>127</xdr:row>
      <xdr:rowOff>104774</xdr:rowOff>
    </xdr:from>
    <xdr:to>
      <xdr:col>6</xdr:col>
      <xdr:colOff>733425</xdr:colOff>
      <xdr:row>156</xdr:row>
      <xdr:rowOff>28574</xdr:rowOff>
    </xdr:to>
    <xdr:graphicFrame macro="">
      <xdr:nvGraphicFramePr>
        <xdr:cNvPr id="4" name="4 Gráfico">
          <a:extLst>
            <a:ext uri="{FF2B5EF4-FFF2-40B4-BE49-F238E27FC236}">
              <a16:creationId xmlns=""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262555</xdr:colOff>
      <xdr:row>72</xdr:row>
      <xdr:rowOff>57979</xdr:rowOff>
    </xdr:from>
    <xdr:to>
      <xdr:col>14</xdr:col>
      <xdr:colOff>142874</xdr:colOff>
      <xdr:row>91</xdr:row>
      <xdr:rowOff>0</xdr:rowOff>
    </xdr:to>
    <xdr:graphicFrame macro="">
      <xdr:nvGraphicFramePr>
        <xdr:cNvPr id="5" name="5 Gráfico">
          <a:extLst>
            <a:ext uri="{FF2B5EF4-FFF2-40B4-BE49-F238E27FC236}">
              <a16:creationId xmlns=""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2050" name="Picture 2">
          <a:extLst>
            <a:ext uri="{FF2B5EF4-FFF2-40B4-BE49-F238E27FC236}">
              <a16:creationId xmlns=""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3075" name="Picture 3">
          <a:extLst>
            <a:ext uri="{FF2B5EF4-FFF2-40B4-BE49-F238E27FC236}">
              <a16:creationId xmlns="" xmlns:a16="http://schemas.microsoft.com/office/drawing/2014/main" id="{00000000-0008-0000-02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25</xdr:row>
      <xdr:rowOff>171450</xdr:rowOff>
    </xdr:from>
    <xdr:to>
      <xdr:col>13</xdr:col>
      <xdr:colOff>276225</xdr:colOff>
      <xdr:row>25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4099" name="Picture 3">
          <a:extLst>
            <a:ext uri="{FF2B5EF4-FFF2-40B4-BE49-F238E27FC236}">
              <a16:creationId xmlns="" xmlns:a16="http://schemas.microsoft.com/office/drawing/2014/main" id="{00000000-0008-0000-0300-00000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25</xdr:row>
      <xdr:rowOff>171450</xdr:rowOff>
    </xdr:from>
    <xdr:to>
      <xdr:col>13</xdr:col>
      <xdr:colOff>276225</xdr:colOff>
      <xdr:row>25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5123" name="Picture 3">
          <a:extLst>
            <a:ext uri="{FF2B5EF4-FFF2-40B4-BE49-F238E27FC236}">
              <a16:creationId xmlns="" xmlns:a16="http://schemas.microsoft.com/office/drawing/2014/main" id="{00000000-0008-0000-0400-00000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6147" name="Picture 3">
          <a:extLst>
            <a:ext uri="{FF2B5EF4-FFF2-40B4-BE49-F238E27FC236}">
              <a16:creationId xmlns="" xmlns:a16="http://schemas.microsoft.com/office/drawing/2014/main" id="{00000000-0008-0000-0500-00000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7171" name="Picture 3">
          <a:extLst>
            <a:ext uri="{FF2B5EF4-FFF2-40B4-BE49-F238E27FC236}">
              <a16:creationId xmlns="" xmlns:a16="http://schemas.microsoft.com/office/drawing/2014/main" id="{00000000-0008-0000-0600-000003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9219" name="Picture 3">
          <a:extLst>
            <a:ext uri="{FF2B5EF4-FFF2-40B4-BE49-F238E27FC236}">
              <a16:creationId xmlns="" xmlns:a16="http://schemas.microsoft.com/office/drawing/2014/main" id="{00000000-0008-0000-0700-00000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10243" name="Picture 3">
          <a:extLst>
            <a:ext uri="{FF2B5EF4-FFF2-40B4-BE49-F238E27FC236}">
              <a16:creationId xmlns="" xmlns:a16="http://schemas.microsoft.com/office/drawing/2014/main" id="{00000000-0008-0000-0800-000003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5"/>
  <sheetViews>
    <sheetView workbookViewId="0">
      <pane ySplit="5" topLeftCell="A6" activePane="bottomLeft" state="frozen"/>
      <selection activeCell="F1" sqref="F1"/>
      <selection pane="bottomLeft" activeCell="L5" sqref="L5"/>
    </sheetView>
  </sheetViews>
  <sheetFormatPr baseColWidth="10" defaultRowHeight="15" x14ac:dyDescent="0.25"/>
  <cols>
    <col min="1" max="1" width="4.140625" style="2" customWidth="1"/>
    <col min="2" max="2" width="18.7109375" customWidth="1"/>
    <col min="3" max="3" width="28.5703125" customWidth="1"/>
    <col min="4" max="4" width="19.7109375" customWidth="1"/>
    <col min="5" max="5" width="4.5703125" customWidth="1"/>
    <col min="6" max="6" width="4.5703125" style="2" customWidth="1"/>
    <col min="7" max="7" width="8.7109375" customWidth="1"/>
    <col min="8" max="8" width="9.5703125" customWidth="1"/>
    <col min="9" max="9" width="10.5703125" customWidth="1"/>
    <col min="10" max="10" width="3.140625" customWidth="1"/>
    <col min="11" max="11" width="3" style="2" customWidth="1"/>
    <col min="12" max="12" width="4" style="2" customWidth="1"/>
    <col min="13" max="24" width="4.28515625" customWidth="1"/>
    <col min="25" max="25" width="5.140625" customWidth="1"/>
    <col min="26" max="26" width="11.42578125" hidden="1" customWidth="1"/>
    <col min="27" max="27" width="0" hidden="1" customWidth="1"/>
    <col min="29" max="30" width="11.42578125" customWidth="1"/>
  </cols>
  <sheetData>
    <row r="1" spans="1:25" s="2" customFormat="1" ht="20.25" customHeight="1" thickTop="1" x14ac:dyDescent="0.25">
      <c r="A1" s="152"/>
      <c r="B1" s="153"/>
      <c r="C1" s="154"/>
      <c r="D1" s="146" t="s">
        <v>50</v>
      </c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8"/>
    </row>
    <row r="2" spans="1:25" s="2" customFormat="1" ht="12.75" customHeight="1" thickBot="1" x14ac:dyDescent="0.3">
      <c r="A2" s="155"/>
      <c r="B2" s="156"/>
      <c r="C2" s="157"/>
      <c r="D2" s="149" t="s">
        <v>67</v>
      </c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1"/>
    </row>
    <row r="3" spans="1:25" s="2" customFormat="1" ht="18" customHeight="1" thickTop="1" thickBot="1" x14ac:dyDescent="0.3">
      <c r="A3" s="163" t="s">
        <v>51</v>
      </c>
      <c r="B3" s="164"/>
      <c r="C3" s="164"/>
      <c r="D3" s="164"/>
      <c r="E3" s="164"/>
      <c r="F3" s="164"/>
      <c r="G3" s="164"/>
      <c r="H3" s="164"/>
      <c r="I3" s="164"/>
      <c r="J3" s="165" t="s">
        <v>170</v>
      </c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6"/>
    </row>
    <row r="4" spans="1:25" s="2" customFormat="1" ht="30.75" customHeight="1" thickTop="1" thickBot="1" x14ac:dyDescent="0.3">
      <c r="A4" s="158" t="s">
        <v>1</v>
      </c>
      <c r="B4" s="158"/>
      <c r="C4" s="158" t="s">
        <v>2</v>
      </c>
      <c r="D4" s="158" t="s">
        <v>5</v>
      </c>
      <c r="E4" s="161" t="s">
        <v>40</v>
      </c>
      <c r="F4" s="161" t="s">
        <v>66</v>
      </c>
      <c r="G4" s="158" t="s">
        <v>6</v>
      </c>
      <c r="H4" s="158"/>
      <c r="I4" s="158"/>
      <c r="J4" s="159" t="s">
        <v>39</v>
      </c>
      <c r="K4" s="159" t="s">
        <v>270</v>
      </c>
      <c r="L4" s="160" t="s">
        <v>271</v>
      </c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</row>
    <row r="5" spans="1:25" s="1" customFormat="1" ht="31.5" customHeight="1" thickTop="1" thickBot="1" x14ac:dyDescent="0.25">
      <c r="A5" s="158"/>
      <c r="B5" s="158"/>
      <c r="C5" s="158"/>
      <c r="D5" s="158"/>
      <c r="E5" s="162"/>
      <c r="F5" s="162"/>
      <c r="G5" s="32" t="s">
        <v>7</v>
      </c>
      <c r="H5" s="33" t="s">
        <v>61</v>
      </c>
      <c r="I5" s="34" t="s">
        <v>62</v>
      </c>
      <c r="J5" s="159"/>
      <c r="K5" s="159"/>
      <c r="L5" s="31" t="s">
        <v>54</v>
      </c>
      <c r="M5" s="31" t="s">
        <v>8</v>
      </c>
      <c r="N5" s="31" t="s">
        <v>9</v>
      </c>
      <c r="O5" s="31" t="s">
        <v>10</v>
      </c>
      <c r="P5" s="31" t="s">
        <v>11</v>
      </c>
      <c r="Q5" s="31" t="s">
        <v>12</v>
      </c>
      <c r="R5" s="31" t="s">
        <v>13</v>
      </c>
      <c r="S5" s="31" t="s">
        <v>14</v>
      </c>
      <c r="T5" s="31" t="s">
        <v>15</v>
      </c>
      <c r="U5" s="31" t="s">
        <v>16</v>
      </c>
      <c r="V5" s="31" t="s">
        <v>17</v>
      </c>
      <c r="W5" s="31" t="s">
        <v>18</v>
      </c>
      <c r="X5" s="31" t="s">
        <v>19</v>
      </c>
    </row>
    <row r="6" spans="1:25" s="1" customFormat="1" ht="57.75" customHeight="1" thickTop="1" thickBot="1" x14ac:dyDescent="0.25">
      <c r="A6" s="45" t="s">
        <v>41</v>
      </c>
      <c r="B6" s="46" t="s">
        <v>99</v>
      </c>
      <c r="C6" s="42" t="s">
        <v>147</v>
      </c>
      <c r="D6" s="43" t="s">
        <v>106</v>
      </c>
      <c r="E6" s="29" t="s">
        <v>53</v>
      </c>
      <c r="F6" s="50" t="s">
        <v>80</v>
      </c>
      <c r="G6" s="51" t="s">
        <v>109</v>
      </c>
      <c r="H6" s="51" t="s">
        <v>108</v>
      </c>
      <c r="I6" s="51" t="s">
        <v>107</v>
      </c>
      <c r="J6" s="68">
        <v>0.82</v>
      </c>
      <c r="K6" s="68">
        <v>0.85</v>
      </c>
      <c r="L6" s="30">
        <f>'01'!$O$17</f>
        <v>0.87827080951112635</v>
      </c>
      <c r="M6" s="30">
        <f>'01'!$C$17</f>
        <v>0.89938513824071409</v>
      </c>
      <c r="N6" s="30">
        <f>'01'!$D$17</f>
        <v>0.69336371946752129</v>
      </c>
      <c r="O6" s="30">
        <f>'01'!$E$17</f>
        <v>0.87439972265197707</v>
      </c>
      <c r="P6" s="30">
        <f>'01'!$F$17</f>
        <v>0.91003516655882843</v>
      </c>
      <c r="Q6" s="30">
        <f>'01'!$G$17</f>
        <v>0.87742372402846303</v>
      </c>
      <c r="R6" s="30">
        <f>'01'!$H$17</f>
        <v>0.90294847376723542</v>
      </c>
      <c r="S6" s="30">
        <f>'01'!$I$17</f>
        <v>0.86783966552181657</v>
      </c>
      <c r="T6" s="30">
        <f>'01'!$J$17</f>
        <v>0.788972257214138</v>
      </c>
      <c r="U6" s="30">
        <f>'01'!$K$17</f>
        <v>0.96654601837265952</v>
      </c>
      <c r="V6" s="30">
        <f>'01'!$L$17</f>
        <v>1.0645256674535968</v>
      </c>
      <c r="W6" s="30">
        <f>'01'!$M$17</f>
        <v>0.82003644505159434</v>
      </c>
      <c r="X6" s="30">
        <f>'01'!$N$17</f>
        <v>0.90380431538062145</v>
      </c>
    </row>
    <row r="7" spans="1:25" s="1" customFormat="1" ht="49.5" customHeight="1" thickTop="1" thickBot="1" x14ac:dyDescent="0.25">
      <c r="A7" s="45" t="s">
        <v>42</v>
      </c>
      <c r="B7" s="46" t="s">
        <v>100</v>
      </c>
      <c r="C7" s="42" t="s">
        <v>148</v>
      </c>
      <c r="D7" s="43" t="s">
        <v>255</v>
      </c>
      <c r="E7" s="29" t="s">
        <v>53</v>
      </c>
      <c r="F7" s="50" t="s">
        <v>80</v>
      </c>
      <c r="G7" s="51" t="s">
        <v>111</v>
      </c>
      <c r="H7" s="51" t="s">
        <v>110</v>
      </c>
      <c r="I7" s="51" t="s">
        <v>107</v>
      </c>
      <c r="J7" s="68">
        <v>0.49</v>
      </c>
      <c r="K7" s="68">
        <v>0.6</v>
      </c>
      <c r="L7" s="30">
        <f>'02'!$O$17</f>
        <v>0.54259304147964393</v>
      </c>
      <c r="M7" s="30">
        <f>'02'!$C$17</f>
        <v>0.53680511611355775</v>
      </c>
      <c r="N7" s="30">
        <f>'02'!$D$17</f>
        <v>0.50992992424764327</v>
      </c>
      <c r="O7" s="30">
        <f>'02'!$E$17</f>
        <v>0.51773780656431501</v>
      </c>
      <c r="P7" s="30">
        <f>'02'!$F$17</f>
        <v>0.5421004326176645</v>
      </c>
      <c r="Q7" s="30">
        <f>'02'!$G$17</f>
        <v>0.50298221851919112</v>
      </c>
      <c r="R7" s="30">
        <f>'02'!$H$17</f>
        <v>0.51123371164328146</v>
      </c>
      <c r="S7" s="30">
        <f>'02'!$I$17</f>
        <v>0.50317405680440774</v>
      </c>
      <c r="T7" s="30">
        <f>'02'!$J$17</f>
        <v>0.46525574205708442</v>
      </c>
      <c r="U7" s="30">
        <f>'02'!$K$17</f>
        <v>0.5399108277845116</v>
      </c>
      <c r="V7" s="30">
        <f>'02'!$L$17</f>
        <v>0.72345718559803518</v>
      </c>
      <c r="W7" s="30">
        <f>'02'!$M$17</f>
        <v>0.58629851556740409</v>
      </c>
      <c r="X7" s="30">
        <f>'02'!$N$17</f>
        <v>0.64760082816253628</v>
      </c>
    </row>
    <row r="8" spans="1:25" s="1" customFormat="1" ht="60" customHeight="1" thickTop="1" thickBot="1" x14ac:dyDescent="0.25">
      <c r="A8" s="45" t="s">
        <v>43</v>
      </c>
      <c r="B8" s="46" t="s">
        <v>180</v>
      </c>
      <c r="C8" s="42" t="s">
        <v>149</v>
      </c>
      <c r="D8" s="43" t="s">
        <v>113</v>
      </c>
      <c r="E8" s="29" t="s">
        <v>53</v>
      </c>
      <c r="F8" s="50" t="s">
        <v>80</v>
      </c>
      <c r="G8" s="51" t="s">
        <v>129</v>
      </c>
      <c r="H8" s="51" t="s">
        <v>128</v>
      </c>
      <c r="I8" s="51" t="s">
        <v>127</v>
      </c>
      <c r="J8" s="69">
        <v>30</v>
      </c>
      <c r="K8" s="69">
        <v>20</v>
      </c>
      <c r="L8" s="53">
        <f>'03'!$O$17</f>
        <v>25.448183075830102</v>
      </c>
      <c r="M8" s="53">
        <f>'03'!$C$17</f>
        <v>23.494569550423179</v>
      </c>
      <c r="N8" s="53">
        <f>'03'!$D$17</f>
        <v>26.031106335070678</v>
      </c>
      <c r="O8" s="53">
        <f>'03'!$E$17</f>
        <v>26.907871784243223</v>
      </c>
      <c r="P8" s="53">
        <f>'03'!$F$17</f>
        <v>26.331543081615902</v>
      </c>
      <c r="Q8" s="53">
        <f>'03'!$G$17</f>
        <v>28.103661798908522</v>
      </c>
      <c r="R8" s="53">
        <f>'03'!$H$17</f>
        <v>28.111754388574361</v>
      </c>
      <c r="S8" s="53">
        <f>'03'!$I$17</f>
        <v>31.441021931073021</v>
      </c>
      <c r="T8" s="53">
        <f>'03'!$J$17</f>
        <v>34.453009811453981</v>
      </c>
      <c r="U8" s="53">
        <f>'03'!$K$17</f>
        <v>29.004509679134237</v>
      </c>
      <c r="V8" s="53">
        <f>'03'!$L$17</f>
        <v>12.503614142100522</v>
      </c>
      <c r="W8" s="53">
        <f>'03'!$M$17</f>
        <v>19.16105335994753</v>
      </c>
      <c r="X8" s="53">
        <f>'03'!$N$17</f>
        <v>16.948899289494371</v>
      </c>
    </row>
    <row r="9" spans="1:25" s="1" customFormat="1" ht="52.5" customHeight="1" thickTop="1" thickBot="1" x14ac:dyDescent="0.25">
      <c r="A9" s="45" t="s">
        <v>44</v>
      </c>
      <c r="B9" s="46" t="s">
        <v>181</v>
      </c>
      <c r="C9" s="42" t="s">
        <v>150</v>
      </c>
      <c r="D9" s="43" t="s">
        <v>114</v>
      </c>
      <c r="E9" s="29" t="s">
        <v>53</v>
      </c>
      <c r="F9" s="50" t="s">
        <v>80</v>
      </c>
      <c r="G9" s="51" t="s">
        <v>109</v>
      </c>
      <c r="H9" s="51" t="s">
        <v>108</v>
      </c>
      <c r="I9" s="51" t="s">
        <v>107</v>
      </c>
      <c r="J9" s="68">
        <v>0.14000000000000001</v>
      </c>
      <c r="K9" s="68">
        <v>1</v>
      </c>
      <c r="L9" s="30">
        <f>'04'!$O$17</f>
        <v>0.16</v>
      </c>
      <c r="M9" s="30">
        <f>'04'!$C$17</f>
        <v>0.16</v>
      </c>
      <c r="N9" s="30">
        <f>'04'!$D$17</f>
        <v>0.16</v>
      </c>
      <c r="O9" s="30">
        <f>'04'!$E$17</f>
        <v>0.16</v>
      </c>
      <c r="P9" s="30">
        <f>'04'!$F$17</f>
        <v>0.16</v>
      </c>
      <c r="Q9" s="30">
        <f>'04'!$G$17</f>
        <v>0.16</v>
      </c>
      <c r="R9" s="30">
        <f>'04'!$H$17</f>
        <v>0.16</v>
      </c>
      <c r="S9" s="30">
        <f>'04'!$I$17</f>
        <v>0.16</v>
      </c>
      <c r="T9" s="30">
        <f>'04'!$J$17</f>
        <v>0.16</v>
      </c>
      <c r="U9" s="30">
        <f>'04'!$K$17</f>
        <v>0.16</v>
      </c>
      <c r="V9" s="30">
        <f>'04'!$L$17</f>
        <v>0.16</v>
      </c>
      <c r="W9" s="30">
        <f>'04'!$M$17</f>
        <v>0.16</v>
      </c>
      <c r="X9" s="30">
        <f>'04'!$N$17</f>
        <v>0.16</v>
      </c>
    </row>
    <row r="10" spans="1:25" s="1" customFormat="1" ht="60" customHeight="1" thickTop="1" thickBot="1" x14ac:dyDescent="0.25">
      <c r="A10" s="45" t="s">
        <v>45</v>
      </c>
      <c r="B10" s="46" t="s">
        <v>176</v>
      </c>
      <c r="C10" s="42" t="s">
        <v>152</v>
      </c>
      <c r="D10" s="43" t="s">
        <v>253</v>
      </c>
      <c r="E10" s="29" t="s">
        <v>53</v>
      </c>
      <c r="F10" s="50" t="s">
        <v>80</v>
      </c>
      <c r="G10" s="51" t="s">
        <v>109</v>
      </c>
      <c r="H10" s="51" t="s">
        <v>108</v>
      </c>
      <c r="I10" s="51" t="s">
        <v>107</v>
      </c>
      <c r="J10" s="68">
        <v>0.99</v>
      </c>
      <c r="K10" s="68">
        <v>1</v>
      </c>
      <c r="L10" s="30">
        <f>'05'!$O$17</f>
        <v>0.98718791064388967</v>
      </c>
      <c r="M10" s="30">
        <f>'05'!$C$17</f>
        <v>0.98707753479125249</v>
      </c>
      <c r="N10" s="30">
        <f>'05'!$D$17</f>
        <v>0.98709036742800393</v>
      </c>
      <c r="O10" s="30">
        <f>'05'!$E$17</f>
        <v>0.98710317460317465</v>
      </c>
      <c r="P10" s="30">
        <f>'05'!$F$17</f>
        <v>0.98710317460317465</v>
      </c>
      <c r="Q10" s="30">
        <f>'05'!$G$17</f>
        <v>0.98710317460317465</v>
      </c>
      <c r="R10" s="30">
        <f>'05'!$H$17</f>
        <v>0.98712871287128712</v>
      </c>
      <c r="S10" s="30">
        <f>'05'!$I$17</f>
        <v>0.98715415019762842</v>
      </c>
      <c r="T10" s="30">
        <f>'05'!$J$17</f>
        <v>0.98725490196078436</v>
      </c>
      <c r="U10" s="30">
        <f>'05'!$K$17</f>
        <v>0.98727984344422703</v>
      </c>
      <c r="V10" s="30">
        <f>'05'!$L$17</f>
        <v>0.98729227761485827</v>
      </c>
      <c r="W10" s="30">
        <f>'05'!$M$17</f>
        <v>0.9873170731707317</v>
      </c>
      <c r="X10" s="30">
        <f>'05'!$N$17</f>
        <v>0.98734177215189878</v>
      </c>
    </row>
    <row r="11" spans="1:25" s="1" customFormat="1" ht="52.5" customHeight="1" thickTop="1" thickBot="1" x14ac:dyDescent="0.25">
      <c r="A11" s="45" t="s">
        <v>46</v>
      </c>
      <c r="B11" s="47" t="s">
        <v>177</v>
      </c>
      <c r="C11" s="42" t="s">
        <v>151</v>
      </c>
      <c r="D11" s="43" t="s">
        <v>254</v>
      </c>
      <c r="E11" s="29" t="s">
        <v>53</v>
      </c>
      <c r="F11" s="50" t="s">
        <v>80</v>
      </c>
      <c r="G11" s="51" t="s">
        <v>109</v>
      </c>
      <c r="H11" s="51" t="s">
        <v>108</v>
      </c>
      <c r="I11" s="51" t="s">
        <v>107</v>
      </c>
      <c r="J11" s="68">
        <v>0.92</v>
      </c>
      <c r="K11" s="68">
        <v>1</v>
      </c>
      <c r="L11" s="30">
        <f>'06'!$O$17</f>
        <v>1.0216819973718791</v>
      </c>
      <c r="M11" s="30">
        <f>'06'!$C$17</f>
        <v>1.0218687872763419</v>
      </c>
      <c r="N11" s="30">
        <f>'06'!$D$17</f>
        <v>1.0208540218470705</v>
      </c>
      <c r="O11" s="30">
        <f>'06'!$E$17</f>
        <v>1.0208333333333333</v>
      </c>
      <c r="P11" s="30">
        <f>'06'!$F$17</f>
        <v>1.0218253968253967</v>
      </c>
      <c r="Q11" s="30">
        <f>'06'!$G$17</f>
        <v>1.0218253968253967</v>
      </c>
      <c r="R11" s="30">
        <f>'06'!$H$17</f>
        <v>1.0217821782178218</v>
      </c>
      <c r="S11" s="30">
        <f>'06'!$I$17</f>
        <v>1.0217391304347827</v>
      </c>
      <c r="T11" s="30">
        <f>'06'!$J$17</f>
        <v>1.0215686274509803</v>
      </c>
      <c r="U11" s="30">
        <f>'06'!$K$17</f>
        <v>1.0215264187866928</v>
      </c>
      <c r="V11" s="30">
        <f>'06'!$L$17</f>
        <v>1.021505376344086</v>
      </c>
      <c r="W11" s="30">
        <f>'06'!$M$17</f>
        <v>1.0224390243902439</v>
      </c>
      <c r="X11" s="30">
        <f>'06'!$N$17</f>
        <v>1.0223953261927945</v>
      </c>
    </row>
    <row r="12" spans="1:25" s="1" customFormat="1" ht="48.75" customHeight="1" thickTop="1" thickBot="1" x14ac:dyDescent="0.25">
      <c r="A12" s="45" t="s">
        <v>47</v>
      </c>
      <c r="B12" s="46" t="s">
        <v>178</v>
      </c>
      <c r="C12" s="42" t="s">
        <v>153</v>
      </c>
      <c r="D12" s="43" t="s">
        <v>256</v>
      </c>
      <c r="E12" s="29" t="s">
        <v>53</v>
      </c>
      <c r="F12" s="50" t="s">
        <v>80</v>
      </c>
      <c r="G12" s="51" t="s">
        <v>109</v>
      </c>
      <c r="H12" s="51" t="s">
        <v>108</v>
      </c>
      <c r="I12" s="51" t="s">
        <v>107</v>
      </c>
      <c r="J12" s="68">
        <v>0.92</v>
      </c>
      <c r="K12" s="68">
        <v>1</v>
      </c>
      <c r="L12" s="30" t="e">
        <f>'07'!$O$17</f>
        <v>#DIV/0!</v>
      </c>
      <c r="M12" s="30" t="e">
        <f>'07'!$C$17</f>
        <v>#DIV/0!</v>
      </c>
      <c r="N12" s="30" t="e">
        <f>'07'!$D$17</f>
        <v>#DIV/0!</v>
      </c>
      <c r="O12" s="30" t="e">
        <f>'07'!$E$17</f>
        <v>#DIV/0!</v>
      </c>
      <c r="P12" s="30" t="e">
        <f>'07'!$F$17</f>
        <v>#DIV/0!</v>
      </c>
      <c r="Q12" s="30" t="e">
        <f>'07'!$G$17</f>
        <v>#DIV/0!</v>
      </c>
      <c r="R12" s="30" t="e">
        <f>'07'!$H$17</f>
        <v>#DIV/0!</v>
      </c>
      <c r="S12" s="30" t="e">
        <f>'07'!$I$17</f>
        <v>#DIV/0!</v>
      </c>
      <c r="T12" s="30" t="e">
        <f>'07'!$J$17</f>
        <v>#DIV/0!</v>
      </c>
      <c r="U12" s="30" t="e">
        <f>'07'!$K$17</f>
        <v>#DIV/0!</v>
      </c>
      <c r="V12" s="30" t="e">
        <f>'07'!$L$17</f>
        <v>#DIV/0!</v>
      </c>
      <c r="W12" s="30" t="e">
        <f>'07'!$M$17</f>
        <v>#DIV/0!</v>
      </c>
      <c r="X12" s="30" t="e">
        <f>'07'!$N$17</f>
        <v>#DIV/0!</v>
      </c>
    </row>
    <row r="13" spans="1:25" s="1" customFormat="1" ht="47.25" customHeight="1" thickTop="1" thickBot="1" x14ac:dyDescent="0.25">
      <c r="A13" s="45" t="s">
        <v>48</v>
      </c>
      <c r="B13" s="46" t="s">
        <v>101</v>
      </c>
      <c r="C13" s="42" t="s">
        <v>155</v>
      </c>
      <c r="D13" s="43" t="s">
        <v>257</v>
      </c>
      <c r="E13" s="29" t="s">
        <v>53</v>
      </c>
      <c r="F13" s="50" t="s">
        <v>80</v>
      </c>
      <c r="G13" s="51" t="s">
        <v>109</v>
      </c>
      <c r="H13" s="51" t="s">
        <v>108</v>
      </c>
      <c r="I13" s="51" t="s">
        <v>107</v>
      </c>
      <c r="J13" s="68">
        <v>0.93</v>
      </c>
      <c r="K13" s="68">
        <v>0.95</v>
      </c>
      <c r="L13" s="30">
        <f>'08'!$O$17</f>
        <v>0.94725457570715477</v>
      </c>
      <c r="M13" s="30">
        <f>'08'!$C$17</f>
        <v>0.93252769385699896</v>
      </c>
      <c r="N13" s="30">
        <f>'08'!$D$17</f>
        <v>0.93863179074446679</v>
      </c>
      <c r="O13" s="30">
        <f>'08'!$E$17</f>
        <v>0.94170854271356785</v>
      </c>
      <c r="P13" s="30">
        <f>'08'!$F$17</f>
        <v>0.94572864321608041</v>
      </c>
      <c r="Q13" s="30">
        <f>'08'!$G$17</f>
        <v>0.94974874371859297</v>
      </c>
      <c r="R13" s="30">
        <f>'08'!$H$17</f>
        <v>0.94984954864593785</v>
      </c>
      <c r="S13" s="30">
        <f>'08'!$I$17</f>
        <v>0.94194194194194192</v>
      </c>
      <c r="T13" s="30">
        <f>'08'!$J$17</f>
        <v>0.94935451837140017</v>
      </c>
      <c r="U13" s="30">
        <f>'08'!$K$17</f>
        <v>0.95242814667988107</v>
      </c>
      <c r="V13" s="30">
        <f>'08'!$L$17</f>
        <v>0.95841584158415838</v>
      </c>
      <c r="W13" s="30">
        <f>'08'!$M$17</f>
        <v>0.9555335968379447</v>
      </c>
      <c r="X13" s="30">
        <f>'08'!$N$17</f>
        <v>0.95069033530571989</v>
      </c>
    </row>
    <row r="14" spans="1:25" s="2" customFormat="1" ht="49.5" customHeight="1" thickTop="1" thickBot="1" x14ac:dyDescent="0.3">
      <c r="A14" s="45" t="s">
        <v>49</v>
      </c>
      <c r="B14" s="46" t="s">
        <v>102</v>
      </c>
      <c r="C14" s="42" t="s">
        <v>160</v>
      </c>
      <c r="D14" s="43" t="s">
        <v>115</v>
      </c>
      <c r="E14" s="29" t="s">
        <v>53</v>
      </c>
      <c r="F14" s="50" t="s">
        <v>80</v>
      </c>
      <c r="G14" s="51" t="s">
        <v>118</v>
      </c>
      <c r="H14" s="51" t="s">
        <v>117</v>
      </c>
      <c r="I14" s="51" t="s">
        <v>116</v>
      </c>
      <c r="J14" s="68">
        <v>0.05</v>
      </c>
      <c r="K14" s="68">
        <v>0.05</v>
      </c>
      <c r="L14" s="30" t="str">
        <f>'09'!$O$17</f>
        <v>-</v>
      </c>
      <c r="M14" s="30" t="str">
        <f>'09'!$C$17</f>
        <v>-</v>
      </c>
      <c r="N14" s="30" t="str">
        <f>'09'!$D$17</f>
        <v>-</v>
      </c>
      <c r="O14" s="30" t="str">
        <f>'09'!$E$17</f>
        <v>-</v>
      </c>
      <c r="P14" s="30" t="str">
        <f>'09'!$F$17</f>
        <v>-</v>
      </c>
      <c r="Q14" s="30" t="str">
        <f>'09'!$G$17</f>
        <v>-</v>
      </c>
      <c r="R14" s="30" t="str">
        <f>'09'!$H$17</f>
        <v>-</v>
      </c>
      <c r="S14" s="30" t="str">
        <f>'09'!$I$17</f>
        <v>-</v>
      </c>
      <c r="T14" s="30" t="str">
        <f>'09'!$J$17</f>
        <v>-</v>
      </c>
      <c r="U14" s="30" t="str">
        <f>'09'!$K$17</f>
        <v>-</v>
      </c>
      <c r="V14" s="30" t="str">
        <f>'09'!$L$17</f>
        <v>-</v>
      </c>
      <c r="W14" s="30" t="str">
        <f>'09'!$M$17</f>
        <v>-</v>
      </c>
      <c r="X14" s="30" t="str">
        <f>'09'!$N$17</f>
        <v>-</v>
      </c>
    </row>
    <row r="15" spans="1:25" s="2" customFormat="1" ht="48.75" customHeight="1" thickTop="1" thickBot="1" x14ac:dyDescent="0.3">
      <c r="A15" s="45" t="s">
        <v>95</v>
      </c>
      <c r="B15" s="46" t="s">
        <v>103</v>
      </c>
      <c r="C15" s="42" t="s">
        <v>154</v>
      </c>
      <c r="D15" s="43" t="s">
        <v>119</v>
      </c>
      <c r="E15" s="29" t="s">
        <v>53</v>
      </c>
      <c r="F15" s="50" t="s">
        <v>80</v>
      </c>
      <c r="G15" s="51" t="s">
        <v>122</v>
      </c>
      <c r="H15" s="51" t="s">
        <v>121</v>
      </c>
      <c r="I15" s="51" t="s">
        <v>120</v>
      </c>
      <c r="J15" s="68">
        <v>0.46</v>
      </c>
      <c r="K15" s="68">
        <v>0.3</v>
      </c>
      <c r="L15" s="30">
        <f>'10'!$O$17</f>
        <v>0.48681022048725858</v>
      </c>
      <c r="M15" s="30">
        <f>'10'!$C$17</f>
        <v>0.4832883663781038</v>
      </c>
      <c r="N15" s="30">
        <f>'10'!$D$17</f>
        <v>0.54522610171090458</v>
      </c>
      <c r="O15" s="30">
        <f>'10'!$E$17</f>
        <v>0.53932046440522097</v>
      </c>
      <c r="P15" s="30">
        <f>'10'!$F$17</f>
        <v>0.50352164538430022</v>
      </c>
      <c r="Q15" s="30">
        <f>'10'!$G$17</f>
        <v>0.49444915070787632</v>
      </c>
      <c r="R15" s="30">
        <f>'10'!$H$17</f>
        <v>0.51058384662097689</v>
      </c>
      <c r="S15" s="30">
        <f>'10'!$I$17</f>
        <v>0.43503145930586562</v>
      </c>
      <c r="T15" s="30">
        <f>'10'!$J$17</f>
        <v>0.48175857769196734</v>
      </c>
      <c r="U15" s="30">
        <f>'10'!$K$17</f>
        <v>0.48926956750439421</v>
      </c>
      <c r="V15" s="30">
        <f>'10'!$L$17</f>
        <v>0.48996368802904117</v>
      </c>
      <c r="W15" s="30">
        <f>'10'!$M$17</f>
        <v>0.38775287908943856</v>
      </c>
      <c r="X15" s="30">
        <f>'10'!$N$17</f>
        <v>0.46725215838047035</v>
      </c>
    </row>
    <row r="16" spans="1:25" s="2" customFormat="1" ht="47.25" customHeight="1" thickTop="1" thickBot="1" x14ac:dyDescent="0.3">
      <c r="A16" s="45" t="s">
        <v>96</v>
      </c>
      <c r="B16" s="46" t="s">
        <v>179</v>
      </c>
      <c r="C16" s="42" t="s">
        <v>156</v>
      </c>
      <c r="D16" s="43" t="s">
        <v>169</v>
      </c>
      <c r="E16" s="29" t="s">
        <v>53</v>
      </c>
      <c r="F16" s="50" t="s">
        <v>80</v>
      </c>
      <c r="G16" s="51" t="s">
        <v>109</v>
      </c>
      <c r="H16" s="51" t="s">
        <v>108</v>
      </c>
      <c r="I16" s="51" t="s">
        <v>107</v>
      </c>
      <c r="J16" s="68">
        <v>0.98</v>
      </c>
      <c r="K16" s="68">
        <v>0.99</v>
      </c>
      <c r="L16" s="30">
        <f>'11'!$O$17</f>
        <v>0.95717592592592582</v>
      </c>
      <c r="M16" s="30">
        <f>'11'!$C$17</f>
        <v>0.98750000000000004</v>
      </c>
      <c r="N16" s="30">
        <f>'11'!$D$17</f>
        <v>0.98888888888888893</v>
      </c>
      <c r="O16" s="30">
        <f>'11'!$E$17</f>
        <v>0.95138888888888884</v>
      </c>
      <c r="P16" s="30">
        <f>'11'!$F$17</f>
        <v>0.96666666666666667</v>
      </c>
      <c r="Q16" s="30">
        <f>'11'!$G$17</f>
        <v>0.90416666666666667</v>
      </c>
      <c r="R16" s="30">
        <f>'11'!$H$17</f>
        <v>0.94444444444444442</v>
      </c>
      <c r="S16" s="30" t="str">
        <f>'11'!$I$17</f>
        <v>-</v>
      </c>
      <c r="T16" s="30" t="str">
        <f>'11'!$J$17</f>
        <v>-</v>
      </c>
      <c r="U16" s="30" t="str">
        <f>'11'!$K$17</f>
        <v>-</v>
      </c>
      <c r="V16" s="30" t="str">
        <f>'11'!$L$17</f>
        <v>-</v>
      </c>
      <c r="W16" s="30" t="str">
        <f>'11'!$M$17</f>
        <v>-</v>
      </c>
      <c r="X16" s="30" t="str">
        <f>'11'!$N$17</f>
        <v>-</v>
      </c>
      <c r="Y16" s="57"/>
    </row>
    <row r="17" spans="1:26" s="2" customFormat="1" ht="48.75" customHeight="1" thickTop="1" thickBot="1" x14ac:dyDescent="0.3">
      <c r="A17" s="45" t="s">
        <v>97</v>
      </c>
      <c r="B17" s="46" t="s">
        <v>104</v>
      </c>
      <c r="C17" s="42" t="s">
        <v>157</v>
      </c>
      <c r="D17" s="43" t="s">
        <v>123</v>
      </c>
      <c r="E17" s="29" t="s">
        <v>65</v>
      </c>
      <c r="F17" s="50" t="s">
        <v>80</v>
      </c>
      <c r="G17" s="51" t="s">
        <v>126</v>
      </c>
      <c r="H17" s="51" t="s">
        <v>125</v>
      </c>
      <c r="I17" s="51" t="s">
        <v>124</v>
      </c>
      <c r="J17" s="68">
        <v>0.98</v>
      </c>
      <c r="K17" s="68">
        <v>1</v>
      </c>
      <c r="L17" s="30" t="str">
        <f>'12'!$O$17</f>
        <v>-</v>
      </c>
      <c r="M17" s="30" t="str">
        <f>'12'!$C$17</f>
        <v>-</v>
      </c>
      <c r="N17" s="30" t="str">
        <f>'12'!$D$17</f>
        <v>-</v>
      </c>
      <c r="O17" s="30" t="str">
        <f>'12'!$E$17</f>
        <v>-</v>
      </c>
      <c r="P17" s="30" t="str">
        <f>'12'!$F$17</f>
        <v>-</v>
      </c>
      <c r="Q17" s="30" t="str">
        <f>'12'!$G$17</f>
        <v>-</v>
      </c>
      <c r="R17" s="30" t="str">
        <f>'12'!$H$17</f>
        <v>-</v>
      </c>
      <c r="S17" s="30" t="str">
        <f>'12'!$I$17</f>
        <v>-</v>
      </c>
      <c r="T17" s="30" t="str">
        <f>'12'!$J$17</f>
        <v>-</v>
      </c>
      <c r="U17" s="30" t="str">
        <f>'12'!$K$17</f>
        <v>-</v>
      </c>
      <c r="V17" s="30" t="str">
        <f>'12'!$L$17</f>
        <v>-</v>
      </c>
      <c r="W17" s="30" t="str">
        <f>'12'!$M$17</f>
        <v>-</v>
      </c>
      <c r="X17" s="30" t="str">
        <f>'12'!$N$17</f>
        <v>-</v>
      </c>
    </row>
    <row r="18" spans="1:26" s="2" customFormat="1" ht="48.75" customHeight="1" thickTop="1" thickBot="1" x14ac:dyDescent="0.3">
      <c r="A18" s="45" t="s">
        <v>98</v>
      </c>
      <c r="B18" s="46" t="s">
        <v>161</v>
      </c>
      <c r="C18" s="42" t="s">
        <v>162</v>
      </c>
      <c r="D18" s="43" t="s">
        <v>258</v>
      </c>
      <c r="E18" s="29" t="s">
        <v>53</v>
      </c>
      <c r="F18" s="50" t="s">
        <v>80</v>
      </c>
      <c r="G18" s="51" t="s">
        <v>163</v>
      </c>
      <c r="H18" s="51" t="s">
        <v>164</v>
      </c>
      <c r="I18" s="51" t="s">
        <v>165</v>
      </c>
      <c r="J18" s="68" t="s">
        <v>266</v>
      </c>
      <c r="K18" s="68" t="s">
        <v>267</v>
      </c>
      <c r="L18" s="30">
        <f>'13'!$O$17</f>
        <v>4.9839228295819934E-3</v>
      </c>
      <c r="M18" s="30">
        <f>'13'!$C$17</f>
        <v>1.9455252918287938E-3</v>
      </c>
      <c r="N18" s="30">
        <f>'13'!$D$17</f>
        <v>3.8910505836575876E-3</v>
      </c>
      <c r="O18" s="30">
        <f>'13'!$E$17</f>
        <v>8.7463556851311956E-3</v>
      </c>
      <c r="P18" s="30">
        <f>'13'!$F$17</f>
        <v>6.7961165048543689E-3</v>
      </c>
      <c r="Q18" s="30">
        <f>'13'!$G$17</f>
        <v>5.8252427184466021E-3</v>
      </c>
      <c r="R18" s="30">
        <f>'13'!$H$17</f>
        <v>3.875968992248062E-3</v>
      </c>
      <c r="S18" s="30">
        <f>'13'!$I$17</f>
        <v>3.8684719535783366E-3</v>
      </c>
      <c r="T18" s="30">
        <f>'13'!$J$17</f>
        <v>2.8790786948176585E-3</v>
      </c>
      <c r="U18" s="30">
        <f>'13'!$K$17</f>
        <v>9.5785440613026813E-3</v>
      </c>
      <c r="V18" s="30">
        <f>'13'!$L$17</f>
        <v>1.9138755980861245E-3</v>
      </c>
      <c r="W18" s="30">
        <f>'13'!$M$17</f>
        <v>2.8625954198473282E-3</v>
      </c>
      <c r="X18" s="30">
        <f>'13'!$N$17</f>
        <v>7.619047619047619E-3</v>
      </c>
    </row>
    <row r="19" spans="1:26" s="2" customFormat="1" ht="49.5" customHeight="1" thickTop="1" thickBot="1" x14ac:dyDescent="0.3">
      <c r="A19" s="45" t="s">
        <v>159</v>
      </c>
      <c r="B19" s="46" t="s">
        <v>105</v>
      </c>
      <c r="C19" s="42" t="s">
        <v>158</v>
      </c>
      <c r="D19" s="43" t="s">
        <v>146</v>
      </c>
      <c r="E19" s="29" t="s">
        <v>53</v>
      </c>
      <c r="F19" s="50" t="s">
        <v>80</v>
      </c>
      <c r="G19" s="51" t="s">
        <v>126</v>
      </c>
      <c r="H19" s="51" t="s">
        <v>125</v>
      </c>
      <c r="I19" s="51" t="s">
        <v>124</v>
      </c>
      <c r="J19" s="68">
        <v>0.98</v>
      </c>
      <c r="K19" s="68">
        <v>1</v>
      </c>
      <c r="L19" s="30" t="e">
        <f>'14'!$O$17</f>
        <v>#DIV/0!</v>
      </c>
      <c r="M19" s="30" t="e">
        <f>'14'!$C$17</f>
        <v>#DIV/0!</v>
      </c>
      <c r="N19" s="30" t="e">
        <f>'14'!$D$17</f>
        <v>#DIV/0!</v>
      </c>
      <c r="O19" s="30" t="e">
        <f>'14'!$E$17</f>
        <v>#DIV/0!</v>
      </c>
      <c r="P19" s="30" t="e">
        <f>'14'!$F$17</f>
        <v>#DIV/0!</v>
      </c>
      <c r="Q19" s="30" t="e">
        <f>'14'!$G$17</f>
        <v>#DIV/0!</v>
      </c>
      <c r="R19" s="30" t="e">
        <f>'14'!$H$17</f>
        <v>#DIV/0!</v>
      </c>
      <c r="S19" s="30" t="e">
        <f>'14'!$I$17</f>
        <v>#DIV/0!</v>
      </c>
      <c r="T19" s="30" t="e">
        <f>'14'!$J$17</f>
        <v>#DIV/0!</v>
      </c>
      <c r="U19" s="30" t="e">
        <f>'14'!$K$17</f>
        <v>#DIV/0!</v>
      </c>
      <c r="V19" s="30" t="e">
        <f>'14'!$L$17</f>
        <v>#DIV/0!</v>
      </c>
      <c r="W19" s="30" t="e">
        <f>'14'!$M$17</f>
        <v>#DIV/0!</v>
      </c>
      <c r="X19" s="30" t="e">
        <f>'14'!$N$17</f>
        <v>#DIV/0!</v>
      </c>
    </row>
    <row r="20" spans="1:26" ht="6.75" customHeight="1" thickTop="1" x14ac:dyDescent="0.25">
      <c r="A20" s="145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</row>
    <row r="22" spans="1:26" x14ac:dyDescent="0.25">
      <c r="Z22" s="49" t="s">
        <v>68</v>
      </c>
    </row>
    <row r="23" spans="1:26" x14ac:dyDescent="0.25">
      <c r="Z23" s="49" t="s">
        <v>69</v>
      </c>
    </row>
    <row r="24" spans="1:26" x14ac:dyDescent="0.25">
      <c r="Z24" s="49" t="s">
        <v>70</v>
      </c>
    </row>
    <row r="25" spans="1:26" x14ac:dyDescent="0.25">
      <c r="Z25" s="49" t="s">
        <v>71</v>
      </c>
    </row>
    <row r="26" spans="1:26" x14ac:dyDescent="0.25">
      <c r="Z26" s="49" t="s">
        <v>72</v>
      </c>
    </row>
    <row r="27" spans="1:26" x14ac:dyDescent="0.25">
      <c r="Z27" s="49" t="s">
        <v>73</v>
      </c>
    </row>
    <row r="28" spans="1:26" x14ac:dyDescent="0.25">
      <c r="Z28" s="49" t="s">
        <v>74</v>
      </c>
    </row>
    <row r="29" spans="1:26" x14ac:dyDescent="0.25">
      <c r="Z29" s="49" t="s">
        <v>75</v>
      </c>
    </row>
    <row r="30" spans="1:26" x14ac:dyDescent="0.25">
      <c r="Z30" s="49" t="s">
        <v>170</v>
      </c>
    </row>
    <row r="31" spans="1:26" x14ac:dyDescent="0.25">
      <c r="Z31" s="49" t="s">
        <v>76</v>
      </c>
    </row>
    <row r="32" spans="1:26" x14ac:dyDescent="0.25">
      <c r="Z32" s="49" t="s">
        <v>77</v>
      </c>
    </row>
    <row r="33" spans="26:26" x14ac:dyDescent="0.25">
      <c r="Z33" s="49" t="s">
        <v>78</v>
      </c>
    </row>
    <row r="34" spans="26:26" x14ac:dyDescent="0.25">
      <c r="Z34" s="49" t="s">
        <v>79</v>
      </c>
    </row>
    <row r="36" spans="26:26" x14ac:dyDescent="0.25">
      <c r="Z36" s="49" t="s">
        <v>80</v>
      </c>
    </row>
    <row r="37" spans="26:26" x14ac:dyDescent="0.25">
      <c r="Z37" s="49" t="s">
        <v>56</v>
      </c>
    </row>
    <row r="38" spans="26:26" x14ac:dyDescent="0.25">
      <c r="Z38" s="49" t="s">
        <v>57</v>
      </c>
    </row>
    <row r="40" spans="26:26" x14ac:dyDescent="0.25">
      <c r="Z40" s="48" t="s">
        <v>4</v>
      </c>
    </row>
    <row r="41" spans="26:26" x14ac:dyDescent="0.25">
      <c r="Z41" s="48" t="s">
        <v>63</v>
      </c>
    </row>
    <row r="42" spans="26:26" x14ac:dyDescent="0.25">
      <c r="Z42" s="48" t="s">
        <v>53</v>
      </c>
    </row>
    <row r="43" spans="26:26" x14ac:dyDescent="0.25">
      <c r="Z43" s="48" t="s">
        <v>64</v>
      </c>
    </row>
    <row r="44" spans="26:26" x14ac:dyDescent="0.25">
      <c r="Z44" s="48" t="s">
        <v>65</v>
      </c>
    </row>
    <row r="45" spans="26:26" x14ac:dyDescent="0.25">
      <c r="Z45" s="48" t="s">
        <v>52</v>
      </c>
    </row>
  </sheetData>
  <sheetProtection algorithmName="SHA-512" hashValue="p+VfQvjJVpphHCoSJxYzDNpgFATy35KclYAfdT5eQVaU3tY3+KoO31HLy3FcoGZhMACPIzpxs0GsBqGHMLcSHg==" saltValue="/Tp2tO6yqR9M0X59idK8fg==" spinCount="100000" sheet="1" objects="1" scenarios="1"/>
  <mergeCells count="15">
    <mergeCell ref="A20:X20"/>
    <mergeCell ref="D1:X1"/>
    <mergeCell ref="D2:X2"/>
    <mergeCell ref="A1:C2"/>
    <mergeCell ref="A4:B5"/>
    <mergeCell ref="J4:J5"/>
    <mergeCell ref="K4:K5"/>
    <mergeCell ref="L4:X4"/>
    <mergeCell ref="C4:C5"/>
    <mergeCell ref="D4:D5"/>
    <mergeCell ref="E4:E5"/>
    <mergeCell ref="G4:I4"/>
    <mergeCell ref="A3:I3"/>
    <mergeCell ref="J3:X3"/>
    <mergeCell ref="F4:F5"/>
  </mergeCells>
  <conditionalFormatting sqref="L7:X7">
    <cfRule type="cellIs" dxfId="26" priority="28" operator="between">
      <formula>0.71</formula>
      <formula>100000</formula>
    </cfRule>
    <cfRule type="cellIs" dxfId="25" priority="29" operator="between">
      <formula>0.6</formula>
      <formula>0.709</formula>
    </cfRule>
    <cfRule type="cellIs" dxfId="24" priority="30" operator="between">
      <formula>0</formula>
      <formula>0.599</formula>
    </cfRule>
  </conditionalFormatting>
  <conditionalFormatting sqref="L8:X8">
    <cfRule type="cellIs" dxfId="23" priority="25" operator="between">
      <formula>45</formula>
      <formula>1000000000</formula>
    </cfRule>
    <cfRule type="cellIs" dxfId="22" priority="26" operator="between">
      <formula>31</formula>
      <formula>44.9</formula>
    </cfRule>
    <cfRule type="cellIs" dxfId="21" priority="27" operator="between">
      <formula>0</formula>
      <formula>30.9</formula>
    </cfRule>
  </conditionalFormatting>
  <conditionalFormatting sqref="L9:X13">
    <cfRule type="cellIs" dxfId="20" priority="22" operator="between">
      <formula>0.8</formula>
      <formula>10000000</formula>
    </cfRule>
    <cfRule type="cellIs" dxfId="19" priority="23" operator="between">
      <formula>0.6</formula>
      <formula>0.799</formula>
    </cfRule>
    <cfRule type="cellIs" dxfId="18" priority="24" operator="between">
      <formula>0</formula>
      <formula>0.599</formula>
    </cfRule>
  </conditionalFormatting>
  <conditionalFormatting sqref="L14:X14">
    <cfRule type="cellIs" dxfId="17" priority="19" operator="between">
      <formula>0.081</formula>
      <formula>100000000</formula>
    </cfRule>
    <cfRule type="cellIs" dxfId="16" priority="20" operator="between">
      <formula>0.05</formula>
      <formula>0.08</formula>
    </cfRule>
    <cfRule type="cellIs" dxfId="15" priority="21" operator="between">
      <formula>0</formula>
      <formula>0.049</formula>
    </cfRule>
  </conditionalFormatting>
  <conditionalFormatting sqref="L15:X15">
    <cfRule type="cellIs" dxfId="14" priority="16" operator="between">
      <formula>0.501</formula>
      <formula>1000000</formula>
    </cfRule>
    <cfRule type="cellIs" dxfId="13" priority="17" operator="between">
      <formula>0.3</formula>
      <formula>0.5</formula>
    </cfRule>
    <cfRule type="cellIs" dxfId="12" priority="18" operator="between">
      <formula>0</formula>
      <formula>0.299</formula>
    </cfRule>
  </conditionalFormatting>
  <conditionalFormatting sqref="L16:X16">
    <cfRule type="cellIs" dxfId="11" priority="13" operator="between">
      <formula>0.8</formula>
      <formula>1000000</formula>
    </cfRule>
    <cfRule type="cellIs" dxfId="10" priority="14" operator="between">
      <formula>0.6</formula>
      <formula>0.799</formula>
    </cfRule>
    <cfRule type="cellIs" dxfId="9" priority="15" operator="between">
      <formula>0</formula>
      <formula>0.599</formula>
    </cfRule>
  </conditionalFormatting>
  <conditionalFormatting sqref="L17:X17 L19:X19">
    <cfRule type="cellIs" dxfId="8" priority="10" operator="between">
      <formula>0.91</formula>
      <formula>10000000</formula>
    </cfRule>
    <cfRule type="cellIs" dxfId="7" priority="11" operator="between">
      <formula>0.71</formula>
      <formula>0.909</formula>
    </cfRule>
    <cfRule type="cellIs" dxfId="6" priority="12" operator="between">
      <formula>0</formula>
      <formula>0.709</formula>
    </cfRule>
  </conditionalFormatting>
  <conditionalFormatting sqref="L18:X18">
    <cfRule type="cellIs" dxfId="5" priority="4" operator="between">
      <formula>0.201</formula>
      <formula>1000000</formula>
    </cfRule>
    <cfRule type="cellIs" dxfId="4" priority="5" operator="between">
      <formula>0.101</formula>
      <formula>0.2</formula>
    </cfRule>
    <cfRule type="cellIs" dxfId="3" priority="6" operator="between">
      <formula>0</formula>
      <formula>0.1</formula>
    </cfRule>
  </conditionalFormatting>
  <conditionalFormatting sqref="L6:X6">
    <cfRule type="cellIs" dxfId="2" priority="1" operator="between">
      <formula>0.8</formula>
      <formula>1000000</formula>
    </cfRule>
    <cfRule type="cellIs" dxfId="1" priority="2" operator="between">
      <formula>0.59</formula>
      <formula>0.7999</formula>
    </cfRule>
    <cfRule type="cellIs" dxfId="0" priority="3" operator="lessThan">
      <formula>0.59</formula>
    </cfRule>
  </conditionalFormatting>
  <dataValidations count="3">
    <dataValidation type="list" allowBlank="1" showInputMessage="1" showErrorMessage="1" sqref="E6:E19">
      <formula1>$Z$40:$Z$45</formula1>
    </dataValidation>
    <dataValidation type="list" allowBlank="1" showInputMessage="1" showErrorMessage="1" sqref="J3:X3">
      <formula1>$Z$22:$Z$34</formula1>
    </dataValidation>
    <dataValidation type="list" allowBlank="1" showInputMessage="1" showErrorMessage="1" sqref="F6:F19">
      <formula1>$Z$36:$Z$38</formula1>
    </dataValidation>
  </dataValidations>
  <pageMargins left="0.27559055118110237" right="0.27559055118110237" top="0.19685039370078741" bottom="0.19685039370078741" header="0.31496062992125984" footer="0.11811023622047245"/>
  <pageSetup scale="75" orientation="landscape" horizontalDpi="4294967294" verticalDpi="4294967294" r:id="rId1"/>
  <headerFooter>
    <oddFooter>&amp;R&amp;8Diseñado por: Wilson Andrade González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9"/>
  <sheetViews>
    <sheetView topLeftCell="A31" zoomScaleSheetLayoutView="72" workbookViewId="0">
      <selection activeCell="A40" sqref="A40:XFD41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3" width="7.7109375" style="3" customWidth="1"/>
    <col min="14" max="14" width="7.85546875" style="3" customWidth="1"/>
    <col min="15" max="15" width="7.7109375" style="3" customWidth="1"/>
    <col min="16" max="16" width="6.140625" style="3" customWidth="1"/>
    <col min="17" max="18" width="6.140625" style="3" hidden="1" customWidth="1"/>
    <col min="19" max="19" width="6.14062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75"/>
      <c r="B1" s="176"/>
      <c r="C1" s="177"/>
      <c r="D1" s="171" t="s">
        <v>20</v>
      </c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2"/>
    </row>
    <row r="2" spans="1:24" ht="15.75" customHeight="1" thickBot="1" x14ac:dyDescent="0.3">
      <c r="A2" s="178"/>
      <c r="B2" s="179"/>
      <c r="C2" s="180"/>
      <c r="D2" s="173" t="s">
        <v>67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4"/>
    </row>
    <row r="3" spans="1:24" ht="13.5" customHeight="1" x14ac:dyDescent="0.25">
      <c r="A3" s="181" t="s">
        <v>0</v>
      </c>
      <c r="B3" s="182"/>
      <c r="C3" s="182"/>
      <c r="D3" s="182"/>
      <c r="E3" s="182"/>
      <c r="F3" s="182" t="str">
        <f>'SET SP Sta.Mría'!J3</f>
        <v>GESTIÓN DE SERVICIOS PÚBLICOS - SANTA MARÍA</v>
      </c>
      <c r="G3" s="182"/>
      <c r="H3" s="182"/>
      <c r="I3" s="182"/>
      <c r="J3" s="182"/>
      <c r="K3" s="182"/>
      <c r="L3" s="182"/>
      <c r="M3" s="182"/>
      <c r="N3" s="182"/>
      <c r="O3" s="183"/>
    </row>
    <row r="4" spans="1:24" ht="15.75" customHeight="1" x14ac:dyDescent="0.25">
      <c r="A4" s="184" t="s">
        <v>1</v>
      </c>
      <c r="B4" s="185"/>
      <c r="C4" s="185"/>
      <c r="D4" s="185"/>
      <c r="E4" s="185"/>
      <c r="F4" s="186" t="str">
        <f>'SET SP Sta.Mría'!$B14</f>
        <v>Calidad del Agua</v>
      </c>
      <c r="G4" s="186"/>
      <c r="H4" s="186"/>
      <c r="I4" s="186"/>
      <c r="J4" s="186"/>
      <c r="K4" s="186"/>
      <c r="L4" s="186"/>
      <c r="M4" s="186"/>
      <c r="N4" s="186"/>
      <c r="O4" s="256"/>
    </row>
    <row r="5" spans="1:24" ht="15.75" customHeight="1" x14ac:dyDescent="0.25">
      <c r="A5" s="184" t="s">
        <v>55</v>
      </c>
      <c r="B5" s="185"/>
      <c r="C5" s="185"/>
      <c r="D5" s="185"/>
      <c r="E5" s="185"/>
      <c r="F5" s="203" t="str">
        <f>'SET SP Sta.Mría'!F14</f>
        <v xml:space="preserve">Eficiencia </v>
      </c>
      <c r="G5" s="204"/>
      <c r="H5" s="204"/>
      <c r="I5" s="204"/>
      <c r="J5" s="204"/>
      <c r="K5" s="204"/>
      <c r="L5" s="204"/>
      <c r="M5" s="204"/>
      <c r="N5" s="204"/>
      <c r="O5" s="205"/>
    </row>
    <row r="6" spans="1:24" ht="17.25" customHeight="1" thickBot="1" x14ac:dyDescent="0.3">
      <c r="A6" s="189" t="s">
        <v>21</v>
      </c>
      <c r="B6" s="190"/>
      <c r="C6" s="190"/>
      <c r="D6" s="190"/>
      <c r="E6" s="190"/>
      <c r="F6" s="26" t="s">
        <v>94</v>
      </c>
      <c r="G6" s="191" t="str">
        <f>'SET SP Sta.Mría'!A14</f>
        <v>IN09</v>
      </c>
      <c r="H6" s="191"/>
      <c r="I6" s="191"/>
      <c r="J6" s="191"/>
      <c r="K6" s="191"/>
      <c r="L6" s="191"/>
      <c r="M6" s="191"/>
      <c r="N6" s="191"/>
      <c r="O6" s="260"/>
    </row>
    <row r="7" spans="1:24" ht="12.75" customHeight="1" x14ac:dyDescent="0.25">
      <c r="A7" s="194" t="s">
        <v>22</v>
      </c>
      <c r="B7" s="195"/>
      <c r="C7" s="195"/>
      <c r="D7" s="195"/>
      <c r="E7" s="198" t="s">
        <v>23</v>
      </c>
      <c r="F7" s="198" t="s">
        <v>24</v>
      </c>
      <c r="G7" s="198"/>
      <c r="H7" s="198" t="s">
        <v>25</v>
      </c>
      <c r="I7" s="198" t="s">
        <v>26</v>
      </c>
      <c r="J7" s="198" t="s">
        <v>27</v>
      </c>
      <c r="K7" s="198"/>
      <c r="L7" s="200" t="s">
        <v>28</v>
      </c>
      <c r="M7" s="200"/>
      <c r="N7" s="200"/>
      <c r="O7" s="201"/>
    </row>
    <row r="8" spans="1:24" ht="46.5" customHeight="1" x14ac:dyDescent="0.25">
      <c r="A8" s="196"/>
      <c r="B8" s="197"/>
      <c r="C8" s="197"/>
      <c r="D8" s="197"/>
      <c r="E8" s="199"/>
      <c r="F8" s="199"/>
      <c r="G8" s="199"/>
      <c r="H8" s="199"/>
      <c r="I8" s="199"/>
      <c r="J8" s="199"/>
      <c r="K8" s="199"/>
      <c r="L8" s="197" t="s">
        <v>29</v>
      </c>
      <c r="M8" s="197"/>
      <c r="N8" s="197" t="s">
        <v>30</v>
      </c>
      <c r="O8" s="202"/>
    </row>
    <row r="9" spans="1:24" ht="36" customHeight="1" thickBot="1" x14ac:dyDescent="0.3">
      <c r="A9" s="210" t="str">
        <f>'SET SP Sta.Mría'!$C14</f>
        <v>Monitorear la calidad de agua suministrada a los usuarios por parte de Aguas de Huila.</v>
      </c>
      <c r="B9" s="211"/>
      <c r="C9" s="211"/>
      <c r="D9" s="211"/>
      <c r="E9" s="17" t="s">
        <v>35</v>
      </c>
      <c r="F9" s="280" t="str">
        <f>'SET SP Sta.Mría'!$D14</f>
        <v xml:space="preserve">Medición de acuerdo al IRCA          </v>
      </c>
      <c r="G9" s="286"/>
      <c r="H9" s="14">
        <f>$O16</f>
        <v>0.05</v>
      </c>
      <c r="I9" s="28" t="str">
        <f>'SET SP Sta.Mría'!$E14</f>
        <v>Trimestral</v>
      </c>
      <c r="J9" s="212" t="s">
        <v>89</v>
      </c>
      <c r="K9" s="213"/>
      <c r="L9" s="213"/>
      <c r="M9" s="213"/>
      <c r="N9" s="213"/>
      <c r="O9" s="214"/>
    </row>
    <row r="10" spans="1:24" ht="13.5" customHeight="1" x14ac:dyDescent="0.25">
      <c r="A10" s="220" t="s">
        <v>38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2"/>
    </row>
    <row r="11" spans="1:24" ht="21.75" customHeight="1" thickBot="1" x14ac:dyDescent="0.3">
      <c r="A11" s="223"/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5"/>
    </row>
    <row r="12" spans="1:24" ht="15" customHeight="1" thickBot="1" x14ac:dyDescent="0.3">
      <c r="A12" s="226" t="s">
        <v>31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8"/>
      <c r="V12" s="9"/>
      <c r="W12" s="27"/>
      <c r="X12" s="27"/>
    </row>
    <row r="13" spans="1:24" ht="16.5" customHeight="1" x14ac:dyDescent="0.25">
      <c r="A13" s="229" t="s">
        <v>273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1"/>
      <c r="V13" s="9"/>
      <c r="W13" s="10"/>
      <c r="X13" s="10"/>
    </row>
    <row r="14" spans="1:24" ht="16.5" customHeight="1" x14ac:dyDescent="0.25">
      <c r="A14" s="232" t="s">
        <v>32</v>
      </c>
      <c r="B14" s="233"/>
      <c r="C14" s="93" t="s">
        <v>8</v>
      </c>
      <c r="D14" s="93" t="s">
        <v>9</v>
      </c>
      <c r="E14" s="93" t="s">
        <v>10</v>
      </c>
      <c r="F14" s="93" t="s">
        <v>11</v>
      </c>
      <c r="G14" s="93" t="s">
        <v>12</v>
      </c>
      <c r="H14" s="93" t="s">
        <v>13</v>
      </c>
      <c r="I14" s="93" t="s">
        <v>14</v>
      </c>
      <c r="J14" s="93" t="s">
        <v>15</v>
      </c>
      <c r="K14" s="93" t="s">
        <v>16</v>
      </c>
      <c r="L14" s="93" t="s">
        <v>17</v>
      </c>
      <c r="M14" s="93" t="s">
        <v>18</v>
      </c>
      <c r="N14" s="93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40" t="s">
        <v>39</v>
      </c>
      <c r="B15" s="241"/>
      <c r="C15" s="126">
        <f t="shared" ref="C15:N15" si="0">$O$15</f>
        <v>0.05</v>
      </c>
      <c r="D15" s="126">
        <f t="shared" si="0"/>
        <v>0.05</v>
      </c>
      <c r="E15" s="126">
        <f t="shared" si="0"/>
        <v>0.05</v>
      </c>
      <c r="F15" s="126">
        <f t="shared" si="0"/>
        <v>0.05</v>
      </c>
      <c r="G15" s="126">
        <f t="shared" si="0"/>
        <v>0.05</v>
      </c>
      <c r="H15" s="126">
        <f t="shared" si="0"/>
        <v>0.05</v>
      </c>
      <c r="I15" s="126">
        <f t="shared" si="0"/>
        <v>0.05</v>
      </c>
      <c r="J15" s="126">
        <f t="shared" si="0"/>
        <v>0.05</v>
      </c>
      <c r="K15" s="126">
        <f t="shared" si="0"/>
        <v>0.05</v>
      </c>
      <c r="L15" s="126">
        <f t="shared" si="0"/>
        <v>0.05</v>
      </c>
      <c r="M15" s="126">
        <f t="shared" si="0"/>
        <v>0.05</v>
      </c>
      <c r="N15" s="126">
        <f t="shared" si="0"/>
        <v>0.05</v>
      </c>
      <c r="O15" s="125">
        <f>'SET SP Sta.Mría'!J14</f>
        <v>0.05</v>
      </c>
      <c r="V15" s="9"/>
      <c r="W15" s="10"/>
      <c r="X15" s="10"/>
    </row>
    <row r="16" spans="1:24" ht="17.25" customHeight="1" x14ac:dyDescent="0.25">
      <c r="A16" s="240" t="s">
        <v>272</v>
      </c>
      <c r="B16" s="241"/>
      <c r="C16" s="126">
        <f t="shared" ref="C16:N16" si="1">$O$16</f>
        <v>0.05</v>
      </c>
      <c r="D16" s="126">
        <f t="shared" si="1"/>
        <v>0.05</v>
      </c>
      <c r="E16" s="126">
        <f t="shared" si="1"/>
        <v>0.05</v>
      </c>
      <c r="F16" s="126">
        <f t="shared" si="1"/>
        <v>0.05</v>
      </c>
      <c r="G16" s="126">
        <f t="shared" si="1"/>
        <v>0.05</v>
      </c>
      <c r="H16" s="126">
        <f t="shared" si="1"/>
        <v>0.05</v>
      </c>
      <c r="I16" s="126">
        <f t="shared" si="1"/>
        <v>0.05</v>
      </c>
      <c r="J16" s="126">
        <f t="shared" si="1"/>
        <v>0.05</v>
      </c>
      <c r="K16" s="126">
        <f t="shared" si="1"/>
        <v>0.05</v>
      </c>
      <c r="L16" s="126">
        <f t="shared" si="1"/>
        <v>0.05</v>
      </c>
      <c r="M16" s="126">
        <f t="shared" si="1"/>
        <v>0.05</v>
      </c>
      <c r="N16" s="126">
        <f t="shared" si="1"/>
        <v>0.05</v>
      </c>
      <c r="O16" s="125">
        <f>'SET SP Sta.Mría'!K14</f>
        <v>0.05</v>
      </c>
      <c r="V16" s="9"/>
      <c r="W16" s="10"/>
      <c r="X16" s="10"/>
    </row>
    <row r="17" spans="1:24" ht="17.25" customHeight="1" x14ac:dyDescent="0.25">
      <c r="A17" s="244" t="s">
        <v>264</v>
      </c>
      <c r="B17" s="245"/>
      <c r="C17" s="12" t="str">
        <f>IF((C18),C18,"-")</f>
        <v>-</v>
      </c>
      <c r="D17" s="12" t="str">
        <f>IF((D18),D18,"-")</f>
        <v>-</v>
      </c>
      <c r="E17" s="12" t="str">
        <f t="shared" ref="E17:N17" si="2">IF((E18),E18,"-")</f>
        <v>-</v>
      </c>
      <c r="F17" s="12" t="str">
        <f t="shared" si="2"/>
        <v>-</v>
      </c>
      <c r="G17" s="12" t="str">
        <f t="shared" si="2"/>
        <v>-</v>
      </c>
      <c r="H17" s="12" t="str">
        <f t="shared" si="2"/>
        <v>-</v>
      </c>
      <c r="I17" s="12" t="str">
        <f t="shared" si="2"/>
        <v>-</v>
      </c>
      <c r="J17" s="12" t="str">
        <f t="shared" si="2"/>
        <v>-</v>
      </c>
      <c r="K17" s="12" t="str">
        <f t="shared" si="2"/>
        <v>-</v>
      </c>
      <c r="L17" s="12" t="str">
        <f t="shared" si="2"/>
        <v>-</v>
      </c>
      <c r="M17" s="12" t="str">
        <f t="shared" si="2"/>
        <v>-</v>
      </c>
      <c r="N17" s="12" t="str">
        <f t="shared" si="2"/>
        <v>-</v>
      </c>
      <c r="O17" s="13" t="str">
        <f>IF(ISNUMBER(O18),O18,"-")</f>
        <v>-</v>
      </c>
      <c r="V17" s="9"/>
      <c r="W17" s="10"/>
      <c r="X17" s="10"/>
    </row>
    <row r="18" spans="1:24" ht="23.25" customHeight="1" x14ac:dyDescent="0.25">
      <c r="A18" s="246" t="s">
        <v>37</v>
      </c>
      <c r="B18" s="40" t="s">
        <v>141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3" t="e">
        <f>AVERAGE(C18:N18)</f>
        <v>#DIV/0!</v>
      </c>
      <c r="V18" s="9"/>
      <c r="W18" s="10"/>
      <c r="X18" s="10"/>
    </row>
    <row r="19" spans="1:24" ht="21" customHeight="1" x14ac:dyDescent="0.25">
      <c r="A19" s="246"/>
      <c r="B19" s="9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9"/>
      <c r="V19" s="9"/>
      <c r="W19" s="10"/>
      <c r="X19" s="10"/>
    </row>
    <row r="20" spans="1:24" ht="17.25" customHeight="1" x14ac:dyDescent="0.25">
      <c r="A20" s="246"/>
      <c r="B20" s="9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8" customHeight="1" thickBot="1" x14ac:dyDescent="0.3">
      <c r="A21" s="247"/>
      <c r="B21" s="94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248" t="s">
        <v>34</v>
      </c>
      <c r="B22" s="249"/>
      <c r="C22" s="250"/>
      <c r="D22" s="237" t="str">
        <f>'SET SP Sta.Mría'!$G14</f>
        <v>Menor al 5%</v>
      </c>
      <c r="E22" s="238"/>
      <c r="F22" s="238"/>
      <c r="G22" s="239"/>
      <c r="H22" s="237" t="str">
        <f>'SET SP Sta.Mría'!$H14</f>
        <v>Entre el 5% y el 8%</v>
      </c>
      <c r="I22" s="238"/>
      <c r="J22" s="238"/>
      <c r="K22" s="239"/>
      <c r="L22" s="237" t="str">
        <f>'SET SP Sta.Mría'!$I14</f>
        <v>Mayor al 8%</v>
      </c>
      <c r="M22" s="242"/>
      <c r="N22" s="242"/>
      <c r="O22" s="243"/>
      <c r="V22" s="9"/>
      <c r="W22" s="10"/>
      <c r="X22" s="10"/>
    </row>
    <row r="23" spans="1:24" ht="33" customHeight="1" thickBot="1" x14ac:dyDescent="0.3">
      <c r="A23" s="251"/>
      <c r="B23" s="252"/>
      <c r="C23" s="252"/>
      <c r="D23" s="253" t="s">
        <v>7</v>
      </c>
      <c r="E23" s="253"/>
      <c r="F23" s="253"/>
      <c r="G23" s="253"/>
      <c r="H23" s="254" t="s">
        <v>61</v>
      </c>
      <c r="I23" s="254"/>
      <c r="J23" s="254"/>
      <c r="K23" s="254"/>
      <c r="L23" s="215" t="s">
        <v>62</v>
      </c>
      <c r="M23" s="215"/>
      <c r="N23" s="215"/>
      <c r="O23" s="216"/>
      <c r="V23" s="9"/>
      <c r="W23" s="10"/>
      <c r="X23" s="10"/>
    </row>
    <row r="24" spans="1:24" ht="15.75" customHeight="1" thickBot="1" x14ac:dyDescent="0.3">
      <c r="A24" s="217" t="s">
        <v>36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9"/>
      <c r="V24" s="9"/>
      <c r="W24" s="10"/>
      <c r="X24" s="10"/>
    </row>
    <row r="25" spans="1:24" ht="264.75" customHeight="1" thickBot="1" x14ac:dyDescent="0.3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6"/>
      <c r="V25" s="9"/>
    </row>
    <row r="26" spans="1:24" ht="15" customHeight="1" x14ac:dyDescent="0.25">
      <c r="A26" s="206" t="s">
        <v>58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8" t="s">
        <v>60</v>
      </c>
      <c r="O26" s="209"/>
    </row>
    <row r="27" spans="1:24" ht="15" customHeight="1" x14ac:dyDescent="0.25">
      <c r="A27" s="167" t="s">
        <v>292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9">
        <v>43101</v>
      </c>
      <c r="O27" s="170"/>
    </row>
    <row r="28" spans="1:24" ht="15" customHeight="1" x14ac:dyDescent="0.25">
      <c r="A28" s="167" t="s">
        <v>292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9">
        <v>43132</v>
      </c>
      <c r="O28" s="170"/>
    </row>
    <row r="29" spans="1:24" ht="15" customHeight="1" x14ac:dyDescent="0.25">
      <c r="A29" s="167" t="s">
        <v>292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9">
        <v>43160</v>
      </c>
      <c r="O29" s="170"/>
    </row>
    <row r="30" spans="1:24" ht="15" customHeight="1" x14ac:dyDescent="0.25">
      <c r="A30" s="167" t="s">
        <v>292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9">
        <v>43191</v>
      </c>
      <c r="O30" s="170"/>
    </row>
    <row r="31" spans="1:24" ht="15" customHeight="1" x14ac:dyDescent="0.25">
      <c r="A31" s="167" t="s">
        <v>292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9">
        <v>43221</v>
      </c>
      <c r="O31" s="170"/>
    </row>
    <row r="32" spans="1:24" ht="15" customHeight="1" x14ac:dyDescent="0.25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9">
        <v>43252</v>
      </c>
      <c r="O32" s="170"/>
    </row>
    <row r="33" spans="1:17" ht="15" customHeight="1" x14ac:dyDescent="0.25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9">
        <v>43282</v>
      </c>
      <c r="O33" s="170"/>
    </row>
    <row r="34" spans="1:17" ht="15" customHeight="1" x14ac:dyDescent="0.25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9">
        <v>43313</v>
      </c>
      <c r="O34" s="170"/>
    </row>
    <row r="35" spans="1:17" ht="15" customHeight="1" x14ac:dyDescent="0.25">
      <c r="A35" s="167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9">
        <v>43344</v>
      </c>
      <c r="O35" s="170"/>
    </row>
    <row r="36" spans="1:17" ht="15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9">
        <v>43374</v>
      </c>
      <c r="O36" s="170"/>
    </row>
    <row r="37" spans="1:17" ht="15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9">
        <v>43405</v>
      </c>
      <c r="O37" s="170"/>
    </row>
    <row r="38" spans="1:17" ht="15" customHeight="1" thickBot="1" x14ac:dyDescent="0.3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9">
        <v>43435</v>
      </c>
      <c r="O38" s="170"/>
    </row>
    <row r="39" spans="1:17" ht="19.5" customHeight="1" x14ac:dyDescent="0.25">
      <c r="A39" s="206" t="s">
        <v>59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8" t="s">
        <v>60</v>
      </c>
      <c r="O39" s="209"/>
    </row>
    <row r="40" spans="1:17" ht="15" x14ac:dyDescent="0.25">
      <c r="A40" s="167" t="s">
        <v>3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272" t="s">
        <v>3</v>
      </c>
      <c r="O40" s="273"/>
    </row>
    <row r="41" spans="1:17" ht="15.75" thickBot="1" x14ac:dyDescent="0.3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8"/>
      <c r="O41" s="274"/>
    </row>
    <row r="42" spans="1:17" ht="5.25" customHeight="1" x14ac:dyDescent="0.25">
      <c r="A42" s="255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</row>
    <row r="44" spans="1:17" ht="14.25" x14ac:dyDescent="0.2">
      <c r="Q44" s="49" t="s">
        <v>81</v>
      </c>
    </row>
    <row r="45" spans="1:17" ht="14.25" x14ac:dyDescent="0.2">
      <c r="Q45" s="49" t="s">
        <v>82</v>
      </c>
    </row>
    <row r="46" spans="1:17" ht="14.25" x14ac:dyDescent="0.2">
      <c r="Q46" s="49" t="s">
        <v>83</v>
      </c>
    </row>
    <row r="47" spans="1:17" ht="14.25" x14ac:dyDescent="0.2">
      <c r="Q47" s="49" t="s">
        <v>84</v>
      </c>
    </row>
    <row r="48" spans="1:17" ht="14.25" x14ac:dyDescent="0.2">
      <c r="Q48" s="49" t="s">
        <v>85</v>
      </c>
    </row>
    <row r="49" spans="17:17" ht="14.25" x14ac:dyDescent="0.2">
      <c r="Q49" s="49" t="s">
        <v>86</v>
      </c>
    </row>
    <row r="50" spans="17:17" ht="14.25" x14ac:dyDescent="0.2">
      <c r="Q50" s="49" t="s">
        <v>87</v>
      </c>
    </row>
    <row r="51" spans="17:17" ht="14.25" x14ac:dyDescent="0.2">
      <c r="Q51" s="49" t="s">
        <v>88</v>
      </c>
    </row>
    <row r="52" spans="17:17" ht="14.25" x14ac:dyDescent="0.2">
      <c r="Q52" s="49" t="s">
        <v>89</v>
      </c>
    </row>
    <row r="53" spans="17:17" ht="14.25" x14ac:dyDescent="0.2">
      <c r="Q53" s="49" t="s">
        <v>90</v>
      </c>
    </row>
    <row r="54" spans="17:17" ht="14.25" x14ac:dyDescent="0.2">
      <c r="Q54" s="49" t="s">
        <v>91</v>
      </c>
    </row>
    <row r="55" spans="17:17" ht="14.25" x14ac:dyDescent="0.2">
      <c r="Q55" s="49" t="s">
        <v>92</v>
      </c>
    </row>
    <row r="56" spans="17:17" ht="14.25" x14ac:dyDescent="0.2">
      <c r="Q56" s="49" t="s">
        <v>93</v>
      </c>
    </row>
    <row r="58" spans="17:17" x14ac:dyDescent="0.25">
      <c r="Q58" s="44">
        <v>0.05</v>
      </c>
    </row>
    <row r="59" spans="17:17" x14ac:dyDescent="0.25">
      <c r="Q59" s="44">
        <v>4.9000000000000002E-2</v>
      </c>
    </row>
  </sheetData>
  <mergeCells count="74">
    <mergeCell ref="A42:O42"/>
    <mergeCell ref="A25:O25"/>
    <mergeCell ref="H22:K22"/>
    <mergeCell ref="A22:C23"/>
    <mergeCell ref="D22:G22"/>
    <mergeCell ref="A24:O24"/>
    <mergeCell ref="A39:M39"/>
    <mergeCell ref="N39:O39"/>
    <mergeCell ref="A40:M40"/>
    <mergeCell ref="N40:O40"/>
    <mergeCell ref="A41:M41"/>
    <mergeCell ref="N41:O41"/>
    <mergeCell ref="A26:M26"/>
    <mergeCell ref="N26:O26"/>
    <mergeCell ref="A27:M27"/>
    <mergeCell ref="N27:O27"/>
    <mergeCell ref="A5:E5"/>
    <mergeCell ref="A16:B16"/>
    <mergeCell ref="A17:B17"/>
    <mergeCell ref="A18:A21"/>
    <mergeCell ref="A15:B15"/>
    <mergeCell ref="A10:O10"/>
    <mergeCell ref="J9:O9"/>
    <mergeCell ref="F5:O5"/>
    <mergeCell ref="A6:E6"/>
    <mergeCell ref="G6:O6"/>
    <mergeCell ref="A7:D8"/>
    <mergeCell ref="E7:E8"/>
    <mergeCell ref="F7:G8"/>
    <mergeCell ref="A12:O12"/>
    <mergeCell ref="A13:O13"/>
    <mergeCell ref="N8:O8"/>
    <mergeCell ref="A9:D9"/>
    <mergeCell ref="F9:G9"/>
    <mergeCell ref="L22:O22"/>
    <mergeCell ref="D23:G23"/>
    <mergeCell ref="H23:K23"/>
    <mergeCell ref="A11:O11"/>
    <mergeCell ref="A14:B14"/>
    <mergeCell ref="L23:O23"/>
    <mergeCell ref="I7:I8"/>
    <mergeCell ref="J7:K8"/>
    <mergeCell ref="L7:O7"/>
    <mergeCell ref="L8:M8"/>
    <mergeCell ref="H7:H8"/>
    <mergeCell ref="D1:O1"/>
    <mergeCell ref="D2:O2"/>
    <mergeCell ref="A3:E3"/>
    <mergeCell ref="F3:O3"/>
    <mergeCell ref="A4:E4"/>
    <mergeCell ref="F4:O4"/>
    <mergeCell ref="A1:C2"/>
    <mergeCell ref="A28:M28"/>
    <mergeCell ref="N28:O28"/>
    <mergeCell ref="A29:M29"/>
    <mergeCell ref="N29:O29"/>
    <mergeCell ref="A30:M30"/>
    <mergeCell ref="N30:O30"/>
    <mergeCell ref="A31:M31"/>
    <mergeCell ref="N31:O31"/>
    <mergeCell ref="A32:M32"/>
    <mergeCell ref="N32:O32"/>
    <mergeCell ref="A33:M33"/>
    <mergeCell ref="N33:O33"/>
    <mergeCell ref="A37:M37"/>
    <mergeCell ref="N37:O37"/>
    <mergeCell ref="A38:M38"/>
    <mergeCell ref="N38:O38"/>
    <mergeCell ref="A34:M34"/>
    <mergeCell ref="N34:O34"/>
    <mergeCell ref="A35:M35"/>
    <mergeCell ref="N35:O35"/>
    <mergeCell ref="A36:M36"/>
    <mergeCell ref="N36:O36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62"/>
  <sheetViews>
    <sheetView topLeftCell="A26" zoomScaleSheetLayoutView="72" workbookViewId="0">
      <selection activeCell="A42" sqref="A42:M42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6.85546875" style="3" customWidth="1"/>
    <col min="17" max="18" width="6.85546875" style="3" hidden="1" customWidth="1"/>
    <col min="19" max="19" width="6.8554687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75"/>
      <c r="B1" s="176"/>
      <c r="C1" s="177"/>
      <c r="D1" s="171" t="s">
        <v>20</v>
      </c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2"/>
    </row>
    <row r="2" spans="1:24" ht="15.75" customHeight="1" thickBot="1" x14ac:dyDescent="0.3">
      <c r="A2" s="178"/>
      <c r="B2" s="179"/>
      <c r="C2" s="180"/>
      <c r="D2" s="173" t="s">
        <v>67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4"/>
    </row>
    <row r="3" spans="1:24" ht="13.5" customHeight="1" x14ac:dyDescent="0.25">
      <c r="A3" s="181" t="s">
        <v>0</v>
      </c>
      <c r="B3" s="182"/>
      <c r="C3" s="182"/>
      <c r="D3" s="182"/>
      <c r="E3" s="182"/>
      <c r="F3" s="182" t="str">
        <f>'SET SP Sta.Mría'!J3</f>
        <v>GESTIÓN DE SERVICIOS PÚBLICOS - SANTA MARÍA</v>
      </c>
      <c r="G3" s="182"/>
      <c r="H3" s="182"/>
      <c r="I3" s="182"/>
      <c r="J3" s="182"/>
      <c r="K3" s="182"/>
      <c r="L3" s="182"/>
      <c r="M3" s="182"/>
      <c r="N3" s="182"/>
      <c r="O3" s="183"/>
    </row>
    <row r="4" spans="1:24" ht="15.75" customHeight="1" x14ac:dyDescent="0.25">
      <c r="A4" s="184" t="s">
        <v>1</v>
      </c>
      <c r="B4" s="185"/>
      <c r="C4" s="185"/>
      <c r="D4" s="185"/>
      <c r="E4" s="185"/>
      <c r="F4" s="186" t="str">
        <f>'SET SP Sta.Mría'!$B15</f>
        <v>Índice de agua no contabilizada</v>
      </c>
      <c r="G4" s="186"/>
      <c r="H4" s="186"/>
      <c r="I4" s="186"/>
      <c r="J4" s="186"/>
      <c r="K4" s="186"/>
      <c r="L4" s="186"/>
      <c r="M4" s="186"/>
      <c r="N4" s="186"/>
      <c r="O4" s="256"/>
    </row>
    <row r="5" spans="1:24" ht="15.75" customHeight="1" x14ac:dyDescent="0.25">
      <c r="A5" s="184" t="s">
        <v>55</v>
      </c>
      <c r="B5" s="185"/>
      <c r="C5" s="185"/>
      <c r="D5" s="185"/>
      <c r="E5" s="185"/>
      <c r="F5" s="203" t="str">
        <f>'SET SP Sta.Mría'!F15</f>
        <v xml:space="preserve">Eficiencia </v>
      </c>
      <c r="G5" s="204"/>
      <c r="H5" s="204"/>
      <c r="I5" s="204"/>
      <c r="J5" s="204"/>
      <c r="K5" s="204"/>
      <c r="L5" s="204"/>
      <c r="M5" s="204"/>
      <c r="N5" s="204"/>
      <c r="O5" s="205"/>
    </row>
    <row r="6" spans="1:24" ht="17.25" customHeight="1" thickBot="1" x14ac:dyDescent="0.3">
      <c r="A6" s="189" t="s">
        <v>21</v>
      </c>
      <c r="B6" s="190"/>
      <c r="C6" s="190"/>
      <c r="D6" s="190"/>
      <c r="E6" s="190"/>
      <c r="F6" s="26" t="s">
        <v>94</v>
      </c>
      <c r="G6" s="191" t="str">
        <f>'SET SP Sta.Mría'!A15</f>
        <v>IN10</v>
      </c>
      <c r="H6" s="191"/>
      <c r="I6" s="191"/>
      <c r="J6" s="191"/>
      <c r="K6" s="191"/>
      <c r="L6" s="191"/>
      <c r="M6" s="191"/>
      <c r="N6" s="191"/>
      <c r="O6" s="260"/>
    </row>
    <row r="7" spans="1:24" ht="12.75" customHeight="1" x14ac:dyDescent="0.25">
      <c r="A7" s="194" t="s">
        <v>22</v>
      </c>
      <c r="B7" s="195"/>
      <c r="C7" s="195"/>
      <c r="D7" s="195"/>
      <c r="E7" s="198" t="s">
        <v>23</v>
      </c>
      <c r="F7" s="198" t="s">
        <v>24</v>
      </c>
      <c r="G7" s="198"/>
      <c r="H7" s="198" t="s">
        <v>25</v>
      </c>
      <c r="I7" s="198" t="s">
        <v>26</v>
      </c>
      <c r="J7" s="198" t="s">
        <v>27</v>
      </c>
      <c r="K7" s="198"/>
      <c r="L7" s="200" t="s">
        <v>28</v>
      </c>
      <c r="M7" s="200"/>
      <c r="N7" s="200"/>
      <c r="O7" s="201"/>
    </row>
    <row r="8" spans="1:24" ht="46.5" customHeight="1" x14ac:dyDescent="0.25">
      <c r="A8" s="196"/>
      <c r="B8" s="197"/>
      <c r="C8" s="197"/>
      <c r="D8" s="197"/>
      <c r="E8" s="199"/>
      <c r="F8" s="199"/>
      <c r="G8" s="199"/>
      <c r="H8" s="199"/>
      <c r="I8" s="199"/>
      <c r="J8" s="199"/>
      <c r="K8" s="199"/>
      <c r="L8" s="197" t="s">
        <v>29</v>
      </c>
      <c r="M8" s="197"/>
      <c r="N8" s="197" t="s">
        <v>30</v>
      </c>
      <c r="O8" s="202"/>
    </row>
    <row r="9" spans="1:24" ht="48.75" customHeight="1" thickBot="1" x14ac:dyDescent="0.3">
      <c r="A9" s="210" t="str">
        <f>'SET SP Sta.Mría'!$C15</f>
        <v>Lograr que Aguas del Huila facture la totalidad del agua producida.</v>
      </c>
      <c r="B9" s="211"/>
      <c r="C9" s="211"/>
      <c r="D9" s="211"/>
      <c r="E9" s="17" t="s">
        <v>35</v>
      </c>
      <c r="F9" s="280" t="str">
        <f>'SET SP Sta.Mría'!$D15</f>
        <v xml:space="preserve">(Volumen  producido - Volumen facturado /   Volumen  producido)   x 100          </v>
      </c>
      <c r="G9" s="286"/>
      <c r="H9" s="14">
        <f>$O16</f>
        <v>0.3</v>
      </c>
      <c r="I9" s="37" t="str">
        <f>'SET SP Sta.Mría'!$E15</f>
        <v>Trimestral</v>
      </c>
      <c r="J9" s="212" t="s">
        <v>89</v>
      </c>
      <c r="K9" s="213"/>
      <c r="L9" s="213"/>
      <c r="M9" s="213"/>
      <c r="N9" s="213"/>
      <c r="O9" s="214"/>
    </row>
    <row r="10" spans="1:24" ht="13.5" customHeight="1" x14ac:dyDescent="0.25">
      <c r="A10" s="220" t="s">
        <v>38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2"/>
    </row>
    <row r="11" spans="1:24" ht="21.75" customHeight="1" thickBot="1" x14ac:dyDescent="0.3">
      <c r="A11" s="223"/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5"/>
    </row>
    <row r="12" spans="1:24" ht="15" customHeight="1" thickBot="1" x14ac:dyDescent="0.3">
      <c r="A12" s="269" t="s">
        <v>31</v>
      </c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1"/>
      <c r="V12" s="9"/>
      <c r="W12" s="38"/>
      <c r="X12" s="38"/>
    </row>
    <row r="13" spans="1:24" ht="16.5" customHeight="1" x14ac:dyDescent="0.25">
      <c r="A13" s="229" t="s">
        <v>273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1"/>
      <c r="V13" s="9"/>
      <c r="W13" s="10"/>
      <c r="X13" s="10"/>
    </row>
    <row r="14" spans="1:24" ht="16.5" customHeight="1" x14ac:dyDescent="0.25">
      <c r="A14" s="232" t="s">
        <v>32</v>
      </c>
      <c r="B14" s="233"/>
      <c r="C14" s="93" t="s">
        <v>8</v>
      </c>
      <c r="D14" s="93" t="s">
        <v>9</v>
      </c>
      <c r="E14" s="93" t="s">
        <v>10</v>
      </c>
      <c r="F14" s="93" t="s">
        <v>11</v>
      </c>
      <c r="G14" s="93" t="s">
        <v>12</v>
      </c>
      <c r="H14" s="93" t="s">
        <v>13</v>
      </c>
      <c r="I14" s="93" t="s">
        <v>14</v>
      </c>
      <c r="J14" s="93" t="s">
        <v>15</v>
      </c>
      <c r="K14" s="93" t="s">
        <v>16</v>
      </c>
      <c r="L14" s="93" t="s">
        <v>17</v>
      </c>
      <c r="M14" s="93" t="s">
        <v>18</v>
      </c>
      <c r="N14" s="93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40" t="s">
        <v>39</v>
      </c>
      <c r="B15" s="241"/>
      <c r="C15" s="126">
        <f t="shared" ref="C15:N15" si="0">$O$15</f>
        <v>0.46</v>
      </c>
      <c r="D15" s="126">
        <f t="shared" si="0"/>
        <v>0.46</v>
      </c>
      <c r="E15" s="126">
        <f t="shared" si="0"/>
        <v>0.46</v>
      </c>
      <c r="F15" s="126">
        <f t="shared" si="0"/>
        <v>0.46</v>
      </c>
      <c r="G15" s="126">
        <f t="shared" si="0"/>
        <v>0.46</v>
      </c>
      <c r="H15" s="126">
        <f t="shared" si="0"/>
        <v>0.46</v>
      </c>
      <c r="I15" s="126">
        <f t="shared" si="0"/>
        <v>0.46</v>
      </c>
      <c r="J15" s="126">
        <f t="shared" si="0"/>
        <v>0.46</v>
      </c>
      <c r="K15" s="126">
        <f t="shared" si="0"/>
        <v>0.46</v>
      </c>
      <c r="L15" s="126">
        <f t="shared" si="0"/>
        <v>0.46</v>
      </c>
      <c r="M15" s="126">
        <f t="shared" si="0"/>
        <v>0.46</v>
      </c>
      <c r="N15" s="126">
        <f t="shared" si="0"/>
        <v>0.46</v>
      </c>
      <c r="O15" s="125">
        <f>'SET SP Sta.Mría'!J15</f>
        <v>0.46</v>
      </c>
      <c r="V15" s="9"/>
      <c r="W15" s="10"/>
      <c r="X15" s="10"/>
    </row>
    <row r="16" spans="1:24" ht="17.25" customHeight="1" x14ac:dyDescent="0.25">
      <c r="A16" s="240" t="s">
        <v>272</v>
      </c>
      <c r="B16" s="241"/>
      <c r="C16" s="126">
        <f t="shared" ref="C16:N16" si="1">$O$16</f>
        <v>0.3</v>
      </c>
      <c r="D16" s="126">
        <f t="shared" si="1"/>
        <v>0.3</v>
      </c>
      <c r="E16" s="126">
        <f t="shared" si="1"/>
        <v>0.3</v>
      </c>
      <c r="F16" s="126">
        <f t="shared" si="1"/>
        <v>0.3</v>
      </c>
      <c r="G16" s="126">
        <f t="shared" si="1"/>
        <v>0.3</v>
      </c>
      <c r="H16" s="126">
        <f t="shared" si="1"/>
        <v>0.3</v>
      </c>
      <c r="I16" s="126">
        <f t="shared" si="1"/>
        <v>0.3</v>
      </c>
      <c r="J16" s="126">
        <f t="shared" si="1"/>
        <v>0.3</v>
      </c>
      <c r="K16" s="126">
        <f t="shared" si="1"/>
        <v>0.3</v>
      </c>
      <c r="L16" s="126">
        <f t="shared" si="1"/>
        <v>0.3</v>
      </c>
      <c r="M16" s="126">
        <f t="shared" si="1"/>
        <v>0.3</v>
      </c>
      <c r="N16" s="126">
        <f t="shared" si="1"/>
        <v>0.3</v>
      </c>
      <c r="O16" s="125">
        <f>'SET SP Sta.Mría'!K15</f>
        <v>0.3</v>
      </c>
      <c r="V16" s="9"/>
      <c r="W16" s="10"/>
      <c r="X16" s="10"/>
    </row>
    <row r="17" spans="1:24" ht="17.25" customHeight="1" x14ac:dyDescent="0.25">
      <c r="A17" s="244" t="s">
        <v>264</v>
      </c>
      <c r="B17" s="245"/>
      <c r="C17" s="12">
        <f>IF((C19),(C18-C19)/C18,"-")</f>
        <v>0.4832883663781038</v>
      </c>
      <c r="D17" s="12">
        <f t="shared" ref="D17:O17" si="2">IF((D19),(D18-D19)/D18,"-")</f>
        <v>0.54522610171090458</v>
      </c>
      <c r="E17" s="12">
        <f t="shared" si="2"/>
        <v>0.53932046440522097</v>
      </c>
      <c r="F17" s="12">
        <f t="shared" si="2"/>
        <v>0.50352164538430022</v>
      </c>
      <c r="G17" s="12">
        <f t="shared" si="2"/>
        <v>0.49444915070787632</v>
      </c>
      <c r="H17" s="12">
        <f t="shared" si="2"/>
        <v>0.51058384662097689</v>
      </c>
      <c r="I17" s="12">
        <f t="shared" si="2"/>
        <v>0.43503145930586562</v>
      </c>
      <c r="J17" s="12">
        <f t="shared" si="2"/>
        <v>0.48175857769196734</v>
      </c>
      <c r="K17" s="12">
        <f t="shared" si="2"/>
        <v>0.48926956750439421</v>
      </c>
      <c r="L17" s="12">
        <f t="shared" si="2"/>
        <v>0.48996368802904117</v>
      </c>
      <c r="M17" s="12">
        <f t="shared" si="2"/>
        <v>0.38775287908943856</v>
      </c>
      <c r="N17" s="12">
        <f t="shared" si="2"/>
        <v>0.46725215838047035</v>
      </c>
      <c r="O17" s="13">
        <f t="shared" si="2"/>
        <v>0.48681022048725858</v>
      </c>
      <c r="V17" s="9"/>
      <c r="W17" s="10"/>
      <c r="X17" s="10"/>
    </row>
    <row r="18" spans="1:24" ht="17.25" customHeight="1" x14ac:dyDescent="0.25">
      <c r="A18" s="246" t="s">
        <v>37</v>
      </c>
      <c r="B18" s="40" t="s">
        <v>142</v>
      </c>
      <c r="C18" s="23">
        <f>+'STA MARIA-18'!D$9</f>
        <v>25402.950399999998</v>
      </c>
      <c r="D18" s="23">
        <f>+'STA MARIA-18'!E$9</f>
        <v>22710.186400000002</v>
      </c>
      <c r="E18" s="23">
        <f>+'STA MARIA-18'!F$9</f>
        <v>24248.960799999997</v>
      </c>
      <c r="F18" s="23">
        <f>+'STA MARIA-18'!G$9</f>
        <v>23694.890000000003</v>
      </c>
      <c r="G18" s="23">
        <f>+'STA MARIA-18'!H$9</f>
        <v>22820.651999999998</v>
      </c>
      <c r="H18" s="23">
        <f>+'STA MARIA-18'!I$9</f>
        <v>23054</v>
      </c>
      <c r="I18" s="23">
        <f>+'STA MARIA-18'!J$9</f>
        <v>24635</v>
      </c>
      <c r="J18" s="23">
        <f>+'STA MARIA-18'!K$9</f>
        <v>24861</v>
      </c>
      <c r="K18" s="23">
        <f>+'STA MARIA-18'!L$9</f>
        <v>23756.171999999999</v>
      </c>
      <c r="L18" s="23">
        <f>+'STA MARIA-18'!M$9</f>
        <v>22949.346399999999</v>
      </c>
      <c r="M18" s="23">
        <f>+'STA MARIA-18'!N$9</f>
        <v>19830.227999999999</v>
      </c>
      <c r="N18" s="23">
        <f>+'STA MARIA-18'!O$9</f>
        <v>20154</v>
      </c>
      <c r="O18" s="24">
        <f>SUM(C18:N18)</f>
        <v>278117.386</v>
      </c>
      <c r="V18" s="9"/>
      <c r="W18" s="10"/>
      <c r="X18" s="10"/>
    </row>
    <row r="19" spans="1:24" ht="17.25" customHeight="1" x14ac:dyDescent="0.25">
      <c r="A19" s="246"/>
      <c r="B19" s="40" t="s">
        <v>143</v>
      </c>
      <c r="C19" s="23">
        <f>+'STA MARIA-18'!D$10</f>
        <v>13126</v>
      </c>
      <c r="D19" s="23">
        <f>+'STA MARIA-18'!E$10</f>
        <v>10328</v>
      </c>
      <c r="E19" s="23">
        <f>+'STA MARIA-18'!F$10</f>
        <v>11171</v>
      </c>
      <c r="F19" s="23">
        <f>+'STA MARIA-18'!G$10</f>
        <v>11764</v>
      </c>
      <c r="G19" s="23">
        <f>+'STA MARIA-18'!H$10</f>
        <v>11537</v>
      </c>
      <c r="H19" s="23">
        <f>+'STA MARIA-18'!I$10</f>
        <v>11283</v>
      </c>
      <c r="I19" s="23">
        <f>+'STA MARIA-18'!J$10</f>
        <v>13918</v>
      </c>
      <c r="J19" s="23">
        <f>+'STA MARIA-18'!K$10</f>
        <v>12884</v>
      </c>
      <c r="K19" s="23">
        <f>+'STA MARIA-18'!L$10</f>
        <v>12133</v>
      </c>
      <c r="L19" s="23">
        <f>+'STA MARIA-18'!M$10</f>
        <v>11705</v>
      </c>
      <c r="M19" s="23">
        <f>+'STA MARIA-18'!N$10</f>
        <v>12141</v>
      </c>
      <c r="N19" s="23">
        <f>+'STA MARIA-18'!O$10</f>
        <v>10737</v>
      </c>
      <c r="O19" s="24">
        <f>SUM(C19:N19)</f>
        <v>142727</v>
      </c>
      <c r="V19" s="9"/>
      <c r="W19" s="10"/>
      <c r="X19" s="10"/>
    </row>
    <row r="20" spans="1:24" ht="12" customHeight="1" x14ac:dyDescent="0.25">
      <c r="A20" s="246"/>
      <c r="B20" s="9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3.5" customHeight="1" thickBot="1" x14ac:dyDescent="0.3">
      <c r="A21" s="247"/>
      <c r="B21" s="94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248" t="s">
        <v>34</v>
      </c>
      <c r="B22" s="249"/>
      <c r="C22" s="250"/>
      <c r="D22" s="237" t="str">
        <f>'SET SP Sta.Mría'!$G15</f>
        <v>Menor al 30%</v>
      </c>
      <c r="E22" s="238"/>
      <c r="F22" s="238"/>
      <c r="G22" s="239"/>
      <c r="H22" s="237" t="str">
        <f>'SET SP Sta.Mría'!$H15</f>
        <v>Entre el 30% y el 50%</v>
      </c>
      <c r="I22" s="238"/>
      <c r="J22" s="238"/>
      <c r="K22" s="239"/>
      <c r="L22" s="237" t="str">
        <f>'SET SP Sta.Mría'!$I15</f>
        <v>Mayor al 50%</v>
      </c>
      <c r="M22" s="242"/>
      <c r="N22" s="242"/>
      <c r="O22" s="243"/>
      <c r="V22" s="9"/>
      <c r="W22" s="10"/>
      <c r="X22" s="10"/>
    </row>
    <row r="23" spans="1:24" ht="33" customHeight="1" thickBot="1" x14ac:dyDescent="0.3">
      <c r="A23" s="251"/>
      <c r="B23" s="252"/>
      <c r="C23" s="252"/>
      <c r="D23" s="253" t="s">
        <v>7</v>
      </c>
      <c r="E23" s="253"/>
      <c r="F23" s="253"/>
      <c r="G23" s="253"/>
      <c r="H23" s="254" t="s">
        <v>61</v>
      </c>
      <c r="I23" s="254"/>
      <c r="J23" s="254"/>
      <c r="K23" s="254"/>
      <c r="L23" s="215" t="s">
        <v>62</v>
      </c>
      <c r="M23" s="215"/>
      <c r="N23" s="215"/>
      <c r="O23" s="216"/>
      <c r="V23" s="9"/>
      <c r="W23" s="10"/>
      <c r="X23" s="10"/>
    </row>
    <row r="24" spans="1:24" ht="15.75" customHeight="1" thickBot="1" x14ac:dyDescent="0.3">
      <c r="A24" s="217" t="s">
        <v>36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9"/>
      <c r="V24" s="9"/>
      <c r="W24" s="10"/>
      <c r="X24" s="10"/>
    </row>
    <row r="25" spans="1:24" ht="264.75" customHeight="1" thickBot="1" x14ac:dyDescent="0.3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6"/>
      <c r="V25" s="9"/>
    </row>
    <row r="26" spans="1:24" ht="15" customHeight="1" x14ac:dyDescent="0.25">
      <c r="A26" s="206" t="s">
        <v>58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8" t="s">
        <v>60</v>
      </c>
      <c r="O26" s="209"/>
    </row>
    <row r="27" spans="1:24" ht="25.5" customHeight="1" x14ac:dyDescent="0.25">
      <c r="A27" s="167" t="s">
        <v>293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9">
        <v>43101</v>
      </c>
      <c r="O27" s="170"/>
    </row>
    <row r="28" spans="1:24" ht="22.5" customHeight="1" x14ac:dyDescent="0.25">
      <c r="A28" s="167" t="s">
        <v>294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9">
        <v>43132</v>
      </c>
      <c r="O28" s="170"/>
    </row>
    <row r="29" spans="1:24" ht="21.75" customHeight="1" x14ac:dyDescent="0.25">
      <c r="A29" s="167" t="s">
        <v>295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9">
        <v>43160</v>
      </c>
      <c r="O29" s="170"/>
    </row>
    <row r="30" spans="1:24" ht="22.5" customHeight="1" x14ac:dyDescent="0.25">
      <c r="A30" s="167" t="s">
        <v>296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9">
        <v>43191</v>
      </c>
      <c r="O30" s="170"/>
    </row>
    <row r="31" spans="1:24" ht="27" customHeight="1" x14ac:dyDescent="0.25">
      <c r="A31" s="167" t="s">
        <v>293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9">
        <v>43221</v>
      </c>
      <c r="O31" s="170"/>
    </row>
    <row r="32" spans="1:24" ht="18.75" customHeight="1" x14ac:dyDescent="0.25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9">
        <v>43252</v>
      </c>
      <c r="O32" s="170"/>
    </row>
    <row r="33" spans="1:17" ht="17.25" customHeight="1" x14ac:dyDescent="0.25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9">
        <v>43282</v>
      </c>
      <c r="O33" s="170"/>
    </row>
    <row r="34" spans="1:17" ht="15" customHeight="1" x14ac:dyDescent="0.25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9">
        <v>43313</v>
      </c>
      <c r="O34" s="170"/>
    </row>
    <row r="35" spans="1:17" ht="15" customHeight="1" x14ac:dyDescent="0.25">
      <c r="A35" s="167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9">
        <v>43344</v>
      </c>
      <c r="O35" s="170"/>
    </row>
    <row r="36" spans="1:17" ht="15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9">
        <v>43374</v>
      </c>
      <c r="O36" s="170"/>
    </row>
    <row r="37" spans="1:17" ht="15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9">
        <v>43405</v>
      </c>
      <c r="O37" s="170"/>
    </row>
    <row r="38" spans="1:17" ht="15" customHeight="1" thickBot="1" x14ac:dyDescent="0.3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9">
        <v>43435</v>
      </c>
      <c r="O38" s="170"/>
    </row>
    <row r="39" spans="1:17" ht="19.5" customHeight="1" x14ac:dyDescent="0.25">
      <c r="A39" s="206" t="s">
        <v>59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8" t="s">
        <v>60</v>
      </c>
      <c r="O39" s="209"/>
    </row>
    <row r="40" spans="1:17" ht="15" x14ac:dyDescent="0.25">
      <c r="A40" s="167" t="s">
        <v>297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9">
        <v>43101</v>
      </c>
      <c r="O40" s="170"/>
    </row>
    <row r="41" spans="1:17" ht="15" x14ac:dyDescent="0.25">
      <c r="A41" s="167" t="s">
        <v>297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9">
        <v>43132</v>
      </c>
      <c r="O41" s="170"/>
    </row>
    <row r="42" spans="1:17" ht="15" x14ac:dyDescent="0.25">
      <c r="A42" s="167" t="s">
        <v>297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9">
        <v>43160</v>
      </c>
      <c r="O42" s="170"/>
    </row>
    <row r="43" spans="1:17" ht="15" x14ac:dyDescent="0.25">
      <c r="A43" s="167" t="s">
        <v>297</v>
      </c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9">
        <v>43191</v>
      </c>
      <c r="O43" s="170"/>
    </row>
    <row r="44" spans="1:17" ht="15.75" thickBot="1" x14ac:dyDescent="0.3">
      <c r="A44" s="167" t="s">
        <v>297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9">
        <v>43221</v>
      </c>
      <c r="O44" s="170"/>
    </row>
    <row r="45" spans="1:17" ht="5.25" customHeight="1" x14ac:dyDescent="0.25">
      <c r="A45" s="255"/>
      <c r="B45" s="255"/>
      <c r="C45" s="255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5"/>
    </row>
    <row r="47" spans="1:17" ht="14.25" x14ac:dyDescent="0.2">
      <c r="Q47" s="49" t="s">
        <v>81</v>
      </c>
    </row>
    <row r="48" spans="1:17" ht="14.25" x14ac:dyDescent="0.2">
      <c r="Q48" s="49" t="s">
        <v>82</v>
      </c>
    </row>
    <row r="49" spans="17:17" ht="14.25" x14ac:dyDescent="0.2">
      <c r="Q49" s="49" t="s">
        <v>83</v>
      </c>
    </row>
    <row r="50" spans="17:17" ht="14.25" x14ac:dyDescent="0.2">
      <c r="Q50" s="49" t="s">
        <v>84</v>
      </c>
    </row>
    <row r="51" spans="17:17" ht="14.25" x14ac:dyDescent="0.2">
      <c r="Q51" s="49" t="s">
        <v>85</v>
      </c>
    </row>
    <row r="52" spans="17:17" ht="14.25" x14ac:dyDescent="0.2">
      <c r="Q52" s="49" t="s">
        <v>86</v>
      </c>
    </row>
    <row r="53" spans="17:17" ht="14.25" x14ac:dyDescent="0.2">
      <c r="Q53" s="49" t="s">
        <v>87</v>
      </c>
    </row>
    <row r="54" spans="17:17" ht="14.25" x14ac:dyDescent="0.2">
      <c r="Q54" s="49" t="s">
        <v>88</v>
      </c>
    </row>
    <row r="55" spans="17:17" ht="14.25" x14ac:dyDescent="0.2">
      <c r="Q55" s="49" t="s">
        <v>89</v>
      </c>
    </row>
    <row r="56" spans="17:17" ht="14.25" x14ac:dyDescent="0.2">
      <c r="Q56" s="49" t="s">
        <v>90</v>
      </c>
    </row>
    <row r="57" spans="17:17" ht="14.25" x14ac:dyDescent="0.2">
      <c r="Q57" s="49" t="s">
        <v>91</v>
      </c>
    </row>
    <row r="58" spans="17:17" ht="14.25" x14ac:dyDescent="0.2">
      <c r="Q58" s="49" t="s">
        <v>92</v>
      </c>
    </row>
    <row r="59" spans="17:17" ht="14.25" x14ac:dyDescent="0.2">
      <c r="Q59" s="49" t="s">
        <v>93</v>
      </c>
    </row>
    <row r="61" spans="17:17" x14ac:dyDescent="0.25">
      <c r="Q61" s="44">
        <v>0.3</v>
      </c>
    </row>
    <row r="62" spans="17:17" x14ac:dyDescent="0.25">
      <c r="Q62" s="44">
        <v>0.29899999999999999</v>
      </c>
    </row>
  </sheetData>
  <mergeCells count="80">
    <mergeCell ref="A4:E4"/>
    <mergeCell ref="F4:O4"/>
    <mergeCell ref="A1:C2"/>
    <mergeCell ref="D1:O1"/>
    <mergeCell ref="D2:O2"/>
    <mergeCell ref="A3:E3"/>
    <mergeCell ref="F3:O3"/>
    <mergeCell ref="A5:E5"/>
    <mergeCell ref="F5:O5"/>
    <mergeCell ref="A6:E6"/>
    <mergeCell ref="G6:O6"/>
    <mergeCell ref="A7:D8"/>
    <mergeCell ref="E7:E8"/>
    <mergeCell ref="F7:G8"/>
    <mergeCell ref="H7:H8"/>
    <mergeCell ref="I7:I8"/>
    <mergeCell ref="J7:K8"/>
    <mergeCell ref="A15:B15"/>
    <mergeCell ref="L7:O7"/>
    <mergeCell ref="L8:M8"/>
    <mergeCell ref="N8:O8"/>
    <mergeCell ref="A9:D9"/>
    <mergeCell ref="F9:G9"/>
    <mergeCell ref="J9:O9"/>
    <mergeCell ref="A10:O10"/>
    <mergeCell ref="A11:O11"/>
    <mergeCell ref="A12:O12"/>
    <mergeCell ref="A13:O13"/>
    <mergeCell ref="A14:B14"/>
    <mergeCell ref="A25:O25"/>
    <mergeCell ref="A16:B16"/>
    <mergeCell ref="A17:B17"/>
    <mergeCell ref="A18:A21"/>
    <mergeCell ref="A22:C23"/>
    <mergeCell ref="D22:G22"/>
    <mergeCell ref="H22:K22"/>
    <mergeCell ref="L22:O22"/>
    <mergeCell ref="D23:G23"/>
    <mergeCell ref="H23:K23"/>
    <mergeCell ref="L23:O23"/>
    <mergeCell ref="A24:O24"/>
    <mergeCell ref="A29:M29"/>
    <mergeCell ref="N29:O29"/>
    <mergeCell ref="A30:M30"/>
    <mergeCell ref="N30:O30"/>
    <mergeCell ref="A31:M31"/>
    <mergeCell ref="N31:O31"/>
    <mergeCell ref="A26:M26"/>
    <mergeCell ref="N26:O26"/>
    <mergeCell ref="A27:M27"/>
    <mergeCell ref="N27:O27"/>
    <mergeCell ref="A28:M28"/>
    <mergeCell ref="N28:O28"/>
    <mergeCell ref="A45:O45"/>
    <mergeCell ref="A39:M39"/>
    <mergeCell ref="N39:O39"/>
    <mergeCell ref="A40:M40"/>
    <mergeCell ref="N40:O40"/>
    <mergeCell ref="A43:M43"/>
    <mergeCell ref="N43:O43"/>
    <mergeCell ref="A44:M44"/>
    <mergeCell ref="N44:O44"/>
    <mergeCell ref="A41:M41"/>
    <mergeCell ref="A42:M42"/>
    <mergeCell ref="N41:O41"/>
    <mergeCell ref="N42:O42"/>
    <mergeCell ref="A32:M32"/>
    <mergeCell ref="N32:O32"/>
    <mergeCell ref="A33:M33"/>
    <mergeCell ref="N33:O33"/>
    <mergeCell ref="A34:M34"/>
    <mergeCell ref="N34:O34"/>
    <mergeCell ref="A38:M38"/>
    <mergeCell ref="N38:O38"/>
    <mergeCell ref="A35:M35"/>
    <mergeCell ref="N35:O35"/>
    <mergeCell ref="A36:M36"/>
    <mergeCell ref="N36:O36"/>
    <mergeCell ref="A37:M37"/>
    <mergeCell ref="N37:O37"/>
  </mergeCells>
  <dataValidations count="1">
    <dataValidation type="list" allowBlank="1" showInputMessage="1" showErrorMessage="1" sqref="J9:O9">
      <formula1>$Q$47:$Q$59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62"/>
  <sheetViews>
    <sheetView topLeftCell="A31" zoomScaleSheetLayoutView="72" workbookViewId="0">
      <selection activeCell="C48" sqref="C48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6" style="3" customWidth="1"/>
    <col min="17" max="18" width="6" style="3" hidden="1" customWidth="1"/>
    <col min="19" max="19" width="6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75"/>
      <c r="B1" s="176"/>
      <c r="C1" s="177"/>
      <c r="D1" s="171" t="s">
        <v>20</v>
      </c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2"/>
    </row>
    <row r="2" spans="1:24" ht="15.75" customHeight="1" thickBot="1" x14ac:dyDescent="0.3">
      <c r="A2" s="178"/>
      <c r="B2" s="179"/>
      <c r="C2" s="180"/>
      <c r="D2" s="173" t="s">
        <v>67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4"/>
    </row>
    <row r="3" spans="1:24" ht="13.5" customHeight="1" x14ac:dyDescent="0.25">
      <c r="A3" s="181" t="s">
        <v>0</v>
      </c>
      <c r="B3" s="182"/>
      <c r="C3" s="182"/>
      <c r="D3" s="182"/>
      <c r="E3" s="182"/>
      <c r="F3" s="182" t="str">
        <f>'SET SP Sta.Mría'!J3</f>
        <v>GESTIÓN DE SERVICIOS PÚBLICOS - SANTA MARÍA</v>
      </c>
      <c r="G3" s="182"/>
      <c r="H3" s="182"/>
      <c r="I3" s="182"/>
      <c r="J3" s="182"/>
      <c r="K3" s="182"/>
      <c r="L3" s="182"/>
      <c r="M3" s="182"/>
      <c r="N3" s="182"/>
      <c r="O3" s="183"/>
    </row>
    <row r="4" spans="1:24" ht="15.75" customHeight="1" x14ac:dyDescent="0.25">
      <c r="A4" s="184" t="s">
        <v>1</v>
      </c>
      <c r="B4" s="185"/>
      <c r="C4" s="185"/>
      <c r="D4" s="185"/>
      <c r="E4" s="185"/>
      <c r="F4" s="186" t="str">
        <f>'SET SP Sta.Mría'!$B16</f>
        <v>Continuidad del servicio (Acueducto)</v>
      </c>
      <c r="G4" s="186"/>
      <c r="H4" s="186"/>
      <c r="I4" s="186"/>
      <c r="J4" s="186"/>
      <c r="K4" s="186"/>
      <c r="L4" s="186"/>
      <c r="M4" s="186"/>
      <c r="N4" s="186"/>
      <c r="O4" s="256"/>
    </row>
    <row r="5" spans="1:24" ht="15.75" customHeight="1" x14ac:dyDescent="0.25">
      <c r="A5" s="184" t="s">
        <v>55</v>
      </c>
      <c r="B5" s="185"/>
      <c r="C5" s="185"/>
      <c r="D5" s="185"/>
      <c r="E5" s="185"/>
      <c r="F5" s="203" t="str">
        <f>'SET SP Sta.Mría'!F16</f>
        <v xml:space="preserve">Eficiencia </v>
      </c>
      <c r="G5" s="204"/>
      <c r="H5" s="204"/>
      <c r="I5" s="204"/>
      <c r="J5" s="204"/>
      <c r="K5" s="204"/>
      <c r="L5" s="204"/>
      <c r="M5" s="204"/>
      <c r="N5" s="204"/>
      <c r="O5" s="205"/>
    </row>
    <row r="6" spans="1:24" ht="17.25" customHeight="1" thickBot="1" x14ac:dyDescent="0.3">
      <c r="A6" s="189" t="s">
        <v>21</v>
      </c>
      <c r="B6" s="190"/>
      <c r="C6" s="190"/>
      <c r="D6" s="190"/>
      <c r="E6" s="190"/>
      <c r="F6" s="26" t="s">
        <v>94</v>
      </c>
      <c r="G6" s="191" t="str">
        <f>'SET SP Sta.Mría'!A16</f>
        <v>IN11</v>
      </c>
      <c r="H6" s="191"/>
      <c r="I6" s="191"/>
      <c r="J6" s="191"/>
      <c r="K6" s="191"/>
      <c r="L6" s="191"/>
      <c r="M6" s="191"/>
      <c r="N6" s="191"/>
      <c r="O6" s="260"/>
    </row>
    <row r="7" spans="1:24" ht="12.75" customHeight="1" x14ac:dyDescent="0.25">
      <c r="A7" s="194" t="s">
        <v>22</v>
      </c>
      <c r="B7" s="195"/>
      <c r="C7" s="195"/>
      <c r="D7" s="195"/>
      <c r="E7" s="198" t="s">
        <v>23</v>
      </c>
      <c r="F7" s="198" t="s">
        <v>24</v>
      </c>
      <c r="G7" s="198"/>
      <c r="H7" s="198" t="s">
        <v>25</v>
      </c>
      <c r="I7" s="198" t="s">
        <v>26</v>
      </c>
      <c r="J7" s="198" t="s">
        <v>27</v>
      </c>
      <c r="K7" s="198"/>
      <c r="L7" s="200" t="s">
        <v>28</v>
      </c>
      <c r="M7" s="200"/>
      <c r="N7" s="200"/>
      <c r="O7" s="201"/>
    </row>
    <row r="8" spans="1:24" ht="46.5" customHeight="1" x14ac:dyDescent="0.25">
      <c r="A8" s="196"/>
      <c r="B8" s="197"/>
      <c r="C8" s="197"/>
      <c r="D8" s="197"/>
      <c r="E8" s="199"/>
      <c r="F8" s="199"/>
      <c r="G8" s="199"/>
      <c r="H8" s="199"/>
      <c r="I8" s="199"/>
      <c r="J8" s="199"/>
      <c r="K8" s="199"/>
      <c r="L8" s="197" t="s">
        <v>29</v>
      </c>
      <c r="M8" s="197"/>
      <c r="N8" s="197" t="s">
        <v>30</v>
      </c>
      <c r="O8" s="202"/>
    </row>
    <row r="9" spans="1:24" ht="39.75" customHeight="1" thickBot="1" x14ac:dyDescent="0.3">
      <c r="A9" s="210" t="str">
        <f>'SET SP Sta.Mría'!$C16</f>
        <v>Prestar el servico de acueducto en forma continua las 24 horas.</v>
      </c>
      <c r="B9" s="211"/>
      <c r="C9" s="211"/>
      <c r="D9" s="211"/>
      <c r="E9" s="17" t="s">
        <v>35</v>
      </c>
      <c r="F9" s="280" t="str">
        <f>'SET SP Sta.Mría'!$D16</f>
        <v>(720 - Horas sin servicio mensuales) / 720) * 100</v>
      </c>
      <c r="G9" s="286"/>
      <c r="H9" s="14">
        <f>$O16</f>
        <v>0.99</v>
      </c>
      <c r="I9" s="37" t="str">
        <f>'SET SP Sta.Mría'!$E16</f>
        <v>Trimestral</v>
      </c>
      <c r="J9" s="212" t="s">
        <v>89</v>
      </c>
      <c r="K9" s="213"/>
      <c r="L9" s="213"/>
      <c r="M9" s="213"/>
      <c r="N9" s="213"/>
      <c r="O9" s="214"/>
    </row>
    <row r="10" spans="1:24" ht="13.5" customHeight="1" x14ac:dyDescent="0.25">
      <c r="A10" s="220" t="s">
        <v>38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2"/>
    </row>
    <row r="11" spans="1:24" ht="21.75" customHeight="1" thickBot="1" x14ac:dyDescent="0.3">
      <c r="A11" s="223"/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5"/>
    </row>
    <row r="12" spans="1:24" ht="15" customHeight="1" thickBot="1" x14ac:dyDescent="0.3">
      <c r="A12" s="269" t="s">
        <v>31</v>
      </c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1"/>
      <c r="V12" s="9"/>
      <c r="W12" s="38"/>
      <c r="X12" s="38"/>
    </row>
    <row r="13" spans="1:24" ht="16.5" customHeight="1" x14ac:dyDescent="0.25">
      <c r="A13" s="229" t="s">
        <v>273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1"/>
      <c r="V13" s="9"/>
      <c r="W13" s="10"/>
      <c r="X13" s="10"/>
    </row>
    <row r="14" spans="1:24" ht="16.5" customHeight="1" x14ac:dyDescent="0.25">
      <c r="A14" s="232" t="s">
        <v>32</v>
      </c>
      <c r="B14" s="233"/>
      <c r="C14" s="93" t="s">
        <v>8</v>
      </c>
      <c r="D14" s="93" t="s">
        <v>9</v>
      </c>
      <c r="E14" s="93" t="s">
        <v>10</v>
      </c>
      <c r="F14" s="93" t="s">
        <v>11</v>
      </c>
      <c r="G14" s="93" t="s">
        <v>12</v>
      </c>
      <c r="H14" s="93" t="s">
        <v>13</v>
      </c>
      <c r="I14" s="93" t="s">
        <v>14</v>
      </c>
      <c r="J14" s="93" t="s">
        <v>15</v>
      </c>
      <c r="K14" s="93" t="s">
        <v>16</v>
      </c>
      <c r="L14" s="93" t="s">
        <v>17</v>
      </c>
      <c r="M14" s="93" t="s">
        <v>18</v>
      </c>
      <c r="N14" s="93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40" t="s">
        <v>39</v>
      </c>
      <c r="B15" s="241"/>
      <c r="C15" s="124">
        <f t="shared" ref="C15:N15" si="0">$O$15</f>
        <v>0.98</v>
      </c>
      <c r="D15" s="124">
        <f t="shared" si="0"/>
        <v>0.98</v>
      </c>
      <c r="E15" s="124">
        <f t="shared" si="0"/>
        <v>0.98</v>
      </c>
      <c r="F15" s="124">
        <f t="shared" si="0"/>
        <v>0.98</v>
      </c>
      <c r="G15" s="124">
        <f t="shared" si="0"/>
        <v>0.98</v>
      </c>
      <c r="H15" s="124">
        <f t="shared" si="0"/>
        <v>0.98</v>
      </c>
      <c r="I15" s="124">
        <f t="shared" si="0"/>
        <v>0.98</v>
      </c>
      <c r="J15" s="124">
        <f t="shared" si="0"/>
        <v>0.98</v>
      </c>
      <c r="K15" s="124">
        <f t="shared" si="0"/>
        <v>0.98</v>
      </c>
      <c r="L15" s="124">
        <f t="shared" si="0"/>
        <v>0.98</v>
      </c>
      <c r="M15" s="124">
        <f t="shared" si="0"/>
        <v>0.98</v>
      </c>
      <c r="N15" s="124">
        <f t="shared" si="0"/>
        <v>0.98</v>
      </c>
      <c r="O15" s="130">
        <f>'SET SP Sta.Mría'!J16</f>
        <v>0.98</v>
      </c>
      <c r="V15" s="9"/>
      <c r="W15" s="10"/>
      <c r="X15" s="10"/>
    </row>
    <row r="16" spans="1:24" ht="17.25" customHeight="1" x14ac:dyDescent="0.25">
      <c r="A16" s="240" t="s">
        <v>272</v>
      </c>
      <c r="B16" s="241"/>
      <c r="C16" s="124">
        <f t="shared" ref="C16:N16" si="1">$O$16</f>
        <v>0.99</v>
      </c>
      <c r="D16" s="124">
        <f t="shared" si="1"/>
        <v>0.99</v>
      </c>
      <c r="E16" s="124">
        <f t="shared" si="1"/>
        <v>0.99</v>
      </c>
      <c r="F16" s="124">
        <f t="shared" si="1"/>
        <v>0.99</v>
      </c>
      <c r="G16" s="124">
        <f t="shared" si="1"/>
        <v>0.99</v>
      </c>
      <c r="H16" s="124">
        <f t="shared" si="1"/>
        <v>0.99</v>
      </c>
      <c r="I16" s="124">
        <f t="shared" si="1"/>
        <v>0.99</v>
      </c>
      <c r="J16" s="124">
        <f t="shared" si="1"/>
        <v>0.99</v>
      </c>
      <c r="K16" s="124">
        <f t="shared" si="1"/>
        <v>0.99</v>
      </c>
      <c r="L16" s="124">
        <f t="shared" si="1"/>
        <v>0.99</v>
      </c>
      <c r="M16" s="124">
        <f t="shared" si="1"/>
        <v>0.99</v>
      </c>
      <c r="N16" s="124">
        <f t="shared" si="1"/>
        <v>0.99</v>
      </c>
      <c r="O16" s="130">
        <f>'SET SP Sta.Mría'!K16</f>
        <v>0.99</v>
      </c>
      <c r="V16" s="9"/>
      <c r="W16" s="10"/>
      <c r="X16" s="10"/>
    </row>
    <row r="17" spans="1:24" ht="17.25" customHeight="1" x14ac:dyDescent="0.25">
      <c r="A17" s="244" t="s">
        <v>264</v>
      </c>
      <c r="B17" s="245"/>
      <c r="C17" s="12">
        <f>IF(ISNUMBER(C18),(720-C18)/720,"-")</f>
        <v>0.98750000000000004</v>
      </c>
      <c r="D17" s="12">
        <f t="shared" ref="D17:I17" si="2">IF(ISNUMBER(D18),(720-D18)/720,"-")</f>
        <v>0.98888888888888893</v>
      </c>
      <c r="E17" s="12">
        <f t="shared" si="2"/>
        <v>0.95138888888888884</v>
      </c>
      <c r="F17" s="12">
        <f t="shared" si="2"/>
        <v>0.96666666666666667</v>
      </c>
      <c r="G17" s="12">
        <f t="shared" si="2"/>
        <v>0.90416666666666667</v>
      </c>
      <c r="H17" s="12">
        <f t="shared" si="2"/>
        <v>0.94444444444444442</v>
      </c>
      <c r="I17" s="12" t="str">
        <f t="shared" si="2"/>
        <v>-</v>
      </c>
      <c r="J17" s="12" t="str">
        <f t="shared" ref="J17" si="3">IF(ISNUMBER(J18),(720-J18)/720,"-")</f>
        <v>-</v>
      </c>
      <c r="K17" s="12" t="str">
        <f t="shared" ref="K17" si="4">IF(ISNUMBER(K18),(720-K18)/720,"-")</f>
        <v>-</v>
      </c>
      <c r="L17" s="12" t="str">
        <f t="shared" ref="L17" si="5">IF(ISNUMBER(L18),(720-L18)/720,"-")</f>
        <v>-</v>
      </c>
      <c r="M17" s="12" t="str">
        <f t="shared" ref="M17" si="6">IF(ISNUMBER(M18),(720-M18)/720,"-")</f>
        <v>-</v>
      </c>
      <c r="N17" s="12" t="str">
        <f t="shared" ref="N17" si="7">IF(ISNUMBER(N18),(720-N18)/720,"-")</f>
        <v>-</v>
      </c>
      <c r="O17" s="13">
        <f>IF(ISNUMBER(O18),(720-O18)/720,"-")</f>
        <v>0.95717592592592582</v>
      </c>
      <c r="V17" s="9"/>
      <c r="W17" s="10"/>
      <c r="X17" s="10"/>
    </row>
    <row r="18" spans="1:24" ht="16.5" customHeight="1" x14ac:dyDescent="0.25">
      <c r="A18" s="246" t="s">
        <v>37</v>
      </c>
      <c r="B18" s="40" t="s">
        <v>168</v>
      </c>
      <c r="C18" s="4">
        <f>+'STA MARIA-18'!D39</f>
        <v>9</v>
      </c>
      <c r="D18" s="4">
        <f>+'STA MARIA-18'!E39</f>
        <v>8</v>
      </c>
      <c r="E18" s="4">
        <f>+'STA MARIA-18'!F39</f>
        <v>35</v>
      </c>
      <c r="F18" s="4">
        <f>+'STA MARIA-18'!G39</f>
        <v>24</v>
      </c>
      <c r="G18" s="4">
        <f>+'STA MARIA-18'!H39</f>
        <v>69</v>
      </c>
      <c r="H18" s="4">
        <f>+'STA MARIA-18'!I39</f>
        <v>40</v>
      </c>
      <c r="I18" s="4" t="str">
        <f>+'STA MARIA-18'!J39</f>
        <v>*</v>
      </c>
      <c r="J18" s="4" t="str">
        <f>+'STA MARIA-18'!K39</f>
        <v>*</v>
      </c>
      <c r="K18" s="4" t="str">
        <f>+'STA MARIA-18'!L39</f>
        <v>*</v>
      </c>
      <c r="L18" s="4" t="str">
        <f>+'STA MARIA-18'!M39</f>
        <v>*</v>
      </c>
      <c r="M18" s="4" t="str">
        <f>+'STA MARIA-18'!N39</f>
        <v>*</v>
      </c>
      <c r="N18" s="4" t="str">
        <f>+'STA MARIA-18'!O39</f>
        <v>*</v>
      </c>
      <c r="O18" s="62">
        <f>AVERAGE(C18:N18)</f>
        <v>30.833333333333332</v>
      </c>
      <c r="V18" s="9"/>
      <c r="W18" s="10"/>
      <c r="X18" s="10"/>
    </row>
    <row r="19" spans="1:24" ht="13.5" customHeight="1" x14ac:dyDescent="0.25">
      <c r="A19" s="246"/>
      <c r="B19" s="92" t="s">
        <v>3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9"/>
      <c r="V19" s="9"/>
      <c r="W19" s="10"/>
      <c r="X19" s="10"/>
    </row>
    <row r="20" spans="1:24" ht="14.25" customHeight="1" x14ac:dyDescent="0.25">
      <c r="A20" s="246"/>
      <c r="B20" s="9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4.25" customHeight="1" thickBot="1" x14ac:dyDescent="0.3">
      <c r="A21" s="247"/>
      <c r="B21" s="94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248" t="s">
        <v>34</v>
      </c>
      <c r="B22" s="249"/>
      <c r="C22" s="250"/>
      <c r="D22" s="237" t="str">
        <f>'SET SP Sta.Mría'!$G16</f>
        <v>Entre 80% y 100%</v>
      </c>
      <c r="E22" s="238"/>
      <c r="F22" s="238"/>
      <c r="G22" s="239"/>
      <c r="H22" s="237" t="str">
        <f>'SET SP Sta.Mría'!$H16</f>
        <v>Entre 60% y 79%</v>
      </c>
      <c r="I22" s="238"/>
      <c r="J22" s="238"/>
      <c r="K22" s="239"/>
      <c r="L22" s="237" t="str">
        <f>'SET SP Sta.Mría'!$I16</f>
        <v>Menor al 59%</v>
      </c>
      <c r="M22" s="242"/>
      <c r="N22" s="242"/>
      <c r="O22" s="243"/>
      <c r="V22" s="9"/>
      <c r="W22" s="10"/>
      <c r="X22" s="10"/>
    </row>
    <row r="23" spans="1:24" ht="33" customHeight="1" thickBot="1" x14ac:dyDescent="0.3">
      <c r="A23" s="251"/>
      <c r="B23" s="252"/>
      <c r="C23" s="252"/>
      <c r="D23" s="253" t="s">
        <v>7</v>
      </c>
      <c r="E23" s="253"/>
      <c r="F23" s="253"/>
      <c r="G23" s="253"/>
      <c r="H23" s="254" t="s">
        <v>61</v>
      </c>
      <c r="I23" s="254"/>
      <c r="J23" s="254"/>
      <c r="K23" s="254"/>
      <c r="L23" s="215" t="s">
        <v>62</v>
      </c>
      <c r="M23" s="215"/>
      <c r="N23" s="215"/>
      <c r="O23" s="216"/>
      <c r="V23" s="9"/>
      <c r="W23" s="10"/>
      <c r="X23" s="10"/>
    </row>
    <row r="24" spans="1:24" ht="15.75" customHeight="1" thickBot="1" x14ac:dyDescent="0.3">
      <c r="A24" s="217" t="s">
        <v>36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9"/>
      <c r="V24" s="9"/>
      <c r="W24" s="10"/>
      <c r="X24" s="10"/>
    </row>
    <row r="25" spans="1:24" ht="264.75" customHeight="1" thickBot="1" x14ac:dyDescent="0.3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6"/>
      <c r="V25" s="9"/>
    </row>
    <row r="26" spans="1:24" ht="15" customHeight="1" x14ac:dyDescent="0.25">
      <c r="A26" s="206" t="s">
        <v>58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8" t="s">
        <v>60</v>
      </c>
      <c r="O26" s="209"/>
    </row>
    <row r="27" spans="1:24" ht="15" customHeight="1" x14ac:dyDescent="0.25">
      <c r="A27" s="167" t="s">
        <v>298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9">
        <v>43101</v>
      </c>
      <c r="O27" s="170"/>
    </row>
    <row r="28" spans="1:24" ht="15" customHeight="1" x14ac:dyDescent="0.25">
      <c r="A28" s="167" t="s">
        <v>298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9">
        <v>43132</v>
      </c>
      <c r="O28" s="170"/>
    </row>
    <row r="29" spans="1:24" ht="15" customHeight="1" x14ac:dyDescent="0.25">
      <c r="A29" s="167" t="s">
        <v>298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9">
        <v>43160</v>
      </c>
      <c r="O29" s="170"/>
    </row>
    <row r="30" spans="1:24" ht="15" customHeight="1" x14ac:dyDescent="0.25">
      <c r="A30" s="167" t="s">
        <v>298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9">
        <v>43191</v>
      </c>
      <c r="O30" s="170"/>
    </row>
    <row r="31" spans="1:24" ht="15" customHeight="1" x14ac:dyDescent="0.25">
      <c r="A31" s="167" t="s">
        <v>298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9">
        <v>43221</v>
      </c>
      <c r="O31" s="170"/>
    </row>
    <row r="32" spans="1:24" ht="15" customHeight="1" x14ac:dyDescent="0.25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9">
        <v>43252</v>
      </c>
      <c r="O32" s="170"/>
    </row>
    <row r="33" spans="1:17" ht="15" customHeight="1" x14ac:dyDescent="0.25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9">
        <v>43282</v>
      </c>
      <c r="O33" s="170"/>
    </row>
    <row r="34" spans="1:17" ht="15" customHeight="1" x14ac:dyDescent="0.25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9">
        <v>43313</v>
      </c>
      <c r="O34" s="170"/>
    </row>
    <row r="35" spans="1:17" ht="15" customHeight="1" x14ac:dyDescent="0.25">
      <c r="A35" s="167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9">
        <v>43344</v>
      </c>
      <c r="O35" s="170"/>
    </row>
    <row r="36" spans="1:17" ht="15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9">
        <v>43374</v>
      </c>
      <c r="O36" s="170"/>
    </row>
    <row r="37" spans="1:17" ht="15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9">
        <v>43405</v>
      </c>
      <c r="O37" s="170"/>
    </row>
    <row r="38" spans="1:17" ht="15" customHeight="1" thickBot="1" x14ac:dyDescent="0.3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9">
        <v>43435</v>
      </c>
      <c r="O38" s="170"/>
    </row>
    <row r="39" spans="1:17" ht="19.5" customHeight="1" x14ac:dyDescent="0.25">
      <c r="A39" s="206" t="s">
        <v>59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8" t="s">
        <v>60</v>
      </c>
      <c r="O39" s="209"/>
    </row>
    <row r="40" spans="1:17" ht="15" x14ac:dyDescent="0.25">
      <c r="A40" s="167" t="s">
        <v>299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9">
        <v>43101</v>
      </c>
      <c r="O40" s="170"/>
    </row>
    <row r="41" spans="1:17" ht="15" x14ac:dyDescent="0.25">
      <c r="A41" s="167" t="s">
        <v>299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9">
        <v>43132</v>
      </c>
      <c r="O41" s="170"/>
    </row>
    <row r="42" spans="1:17" ht="15" x14ac:dyDescent="0.25">
      <c r="A42" s="167" t="s">
        <v>299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9">
        <v>43160</v>
      </c>
      <c r="O42" s="170"/>
    </row>
    <row r="43" spans="1:17" ht="15" x14ac:dyDescent="0.25">
      <c r="A43" s="167" t="s">
        <v>299</v>
      </c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9">
        <v>43191</v>
      </c>
      <c r="O43" s="170"/>
    </row>
    <row r="44" spans="1:17" ht="15.75" thickBot="1" x14ac:dyDescent="0.3">
      <c r="A44" s="167" t="s">
        <v>299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9">
        <v>43221</v>
      </c>
      <c r="O44" s="170"/>
    </row>
    <row r="45" spans="1:17" ht="5.25" customHeight="1" x14ac:dyDescent="0.25">
      <c r="A45" s="255"/>
      <c r="B45" s="255"/>
      <c r="C45" s="255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5"/>
    </row>
    <row r="47" spans="1:17" ht="14.25" x14ac:dyDescent="0.2">
      <c r="Q47" s="49" t="s">
        <v>81</v>
      </c>
    </row>
    <row r="48" spans="1:17" ht="14.25" x14ac:dyDescent="0.2">
      <c r="Q48" s="49" t="s">
        <v>82</v>
      </c>
    </row>
    <row r="49" spans="17:17" ht="14.25" x14ac:dyDescent="0.2">
      <c r="Q49" s="49" t="s">
        <v>83</v>
      </c>
    </row>
    <row r="50" spans="17:17" ht="14.25" x14ac:dyDescent="0.2">
      <c r="Q50" s="49" t="s">
        <v>84</v>
      </c>
    </row>
    <row r="51" spans="17:17" ht="14.25" x14ac:dyDescent="0.2">
      <c r="Q51" s="49" t="s">
        <v>85</v>
      </c>
    </row>
    <row r="52" spans="17:17" ht="14.25" x14ac:dyDescent="0.2">
      <c r="Q52" s="49" t="s">
        <v>86</v>
      </c>
    </row>
    <row r="53" spans="17:17" ht="14.25" x14ac:dyDescent="0.2">
      <c r="Q53" s="49" t="s">
        <v>87</v>
      </c>
    </row>
    <row r="54" spans="17:17" ht="14.25" x14ac:dyDescent="0.2">
      <c r="Q54" s="49" t="s">
        <v>88</v>
      </c>
    </row>
    <row r="55" spans="17:17" ht="14.25" x14ac:dyDescent="0.2">
      <c r="Q55" s="49" t="s">
        <v>89</v>
      </c>
    </row>
    <row r="56" spans="17:17" ht="14.25" x14ac:dyDescent="0.2">
      <c r="Q56" s="49" t="s">
        <v>90</v>
      </c>
    </row>
    <row r="57" spans="17:17" ht="14.25" x14ac:dyDescent="0.2">
      <c r="Q57" s="49" t="s">
        <v>91</v>
      </c>
    </row>
    <row r="58" spans="17:17" ht="14.25" x14ac:dyDescent="0.2">
      <c r="Q58" s="49" t="s">
        <v>92</v>
      </c>
    </row>
    <row r="59" spans="17:17" ht="14.25" x14ac:dyDescent="0.2">
      <c r="Q59" s="49" t="s">
        <v>93</v>
      </c>
    </row>
    <row r="61" spans="17:17" x14ac:dyDescent="0.25">
      <c r="Q61" s="11">
        <v>0.9</v>
      </c>
    </row>
    <row r="62" spans="17:17" x14ac:dyDescent="0.25">
      <c r="Q62" s="11">
        <v>0.95</v>
      </c>
    </row>
  </sheetData>
  <mergeCells count="80">
    <mergeCell ref="A4:E4"/>
    <mergeCell ref="F4:O4"/>
    <mergeCell ref="A1:C2"/>
    <mergeCell ref="D1:O1"/>
    <mergeCell ref="D2:O2"/>
    <mergeCell ref="A3:E3"/>
    <mergeCell ref="F3:O3"/>
    <mergeCell ref="A5:E5"/>
    <mergeCell ref="F5:O5"/>
    <mergeCell ref="A6:E6"/>
    <mergeCell ref="G6:O6"/>
    <mergeCell ref="A7:D8"/>
    <mergeCell ref="E7:E8"/>
    <mergeCell ref="F7:G8"/>
    <mergeCell ref="H7:H8"/>
    <mergeCell ref="I7:I8"/>
    <mergeCell ref="J7:K8"/>
    <mergeCell ref="A15:B15"/>
    <mergeCell ref="L7:O7"/>
    <mergeCell ref="L8:M8"/>
    <mergeCell ref="N8:O8"/>
    <mergeCell ref="A9:D9"/>
    <mergeCell ref="F9:G9"/>
    <mergeCell ref="J9:O9"/>
    <mergeCell ref="A10:O10"/>
    <mergeCell ref="A11:O11"/>
    <mergeCell ref="A12:O12"/>
    <mergeCell ref="A13:O13"/>
    <mergeCell ref="A14:B14"/>
    <mergeCell ref="A25:O25"/>
    <mergeCell ref="A16:B16"/>
    <mergeCell ref="A17:B17"/>
    <mergeCell ref="A18:A21"/>
    <mergeCell ref="A22:C23"/>
    <mergeCell ref="D22:G22"/>
    <mergeCell ref="H22:K22"/>
    <mergeCell ref="L22:O22"/>
    <mergeCell ref="D23:G23"/>
    <mergeCell ref="H23:K23"/>
    <mergeCell ref="L23:O23"/>
    <mergeCell ref="A24:O24"/>
    <mergeCell ref="A29:M29"/>
    <mergeCell ref="N29:O29"/>
    <mergeCell ref="A30:M30"/>
    <mergeCell ref="N30:O30"/>
    <mergeCell ref="A31:M31"/>
    <mergeCell ref="N31:O31"/>
    <mergeCell ref="A26:M26"/>
    <mergeCell ref="N26:O26"/>
    <mergeCell ref="A27:M27"/>
    <mergeCell ref="N27:O27"/>
    <mergeCell ref="A28:M28"/>
    <mergeCell ref="N28:O28"/>
    <mergeCell ref="A45:O45"/>
    <mergeCell ref="A39:M39"/>
    <mergeCell ref="N39:O39"/>
    <mergeCell ref="A43:M43"/>
    <mergeCell ref="N43:O43"/>
    <mergeCell ref="A44:M44"/>
    <mergeCell ref="N44:O44"/>
    <mergeCell ref="A40:M40"/>
    <mergeCell ref="A41:M41"/>
    <mergeCell ref="A42:M42"/>
    <mergeCell ref="N40:O40"/>
    <mergeCell ref="N41:O41"/>
    <mergeCell ref="N42:O42"/>
    <mergeCell ref="A32:M32"/>
    <mergeCell ref="N32:O32"/>
    <mergeCell ref="A33:M33"/>
    <mergeCell ref="N33:O33"/>
    <mergeCell ref="A34:M34"/>
    <mergeCell ref="N34:O34"/>
    <mergeCell ref="A38:M38"/>
    <mergeCell ref="N38:O38"/>
    <mergeCell ref="A35:M35"/>
    <mergeCell ref="N35:O35"/>
    <mergeCell ref="A36:M36"/>
    <mergeCell ref="N36:O36"/>
    <mergeCell ref="A37:M37"/>
    <mergeCell ref="N37:O37"/>
  </mergeCells>
  <dataValidations count="1">
    <dataValidation type="list" allowBlank="1" showInputMessage="1" showErrorMessage="1" sqref="J9:O9">
      <formula1>$Q$47:$Q$59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9"/>
  <sheetViews>
    <sheetView topLeftCell="A26" zoomScaleSheetLayoutView="72" workbookViewId="0">
      <selection activeCell="A27" sqref="A27:M27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6.28515625" style="3" customWidth="1"/>
    <col min="17" max="18" width="6.28515625" style="3" hidden="1" customWidth="1"/>
    <col min="19" max="19" width="6.2851562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75"/>
      <c r="B1" s="176"/>
      <c r="C1" s="177"/>
      <c r="D1" s="171" t="s">
        <v>20</v>
      </c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2"/>
    </row>
    <row r="2" spans="1:24" ht="15.75" customHeight="1" thickBot="1" x14ac:dyDescent="0.3">
      <c r="A2" s="178"/>
      <c r="B2" s="179"/>
      <c r="C2" s="180"/>
      <c r="D2" s="173" t="s">
        <v>67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4"/>
    </row>
    <row r="3" spans="1:24" ht="13.5" customHeight="1" x14ac:dyDescent="0.25">
      <c r="A3" s="181" t="s">
        <v>0</v>
      </c>
      <c r="B3" s="182"/>
      <c r="C3" s="182"/>
      <c r="D3" s="182"/>
      <c r="E3" s="182"/>
      <c r="F3" s="182" t="str">
        <f>'SET SP Sta.Mría'!J3</f>
        <v>GESTIÓN DE SERVICIOS PÚBLICOS - SANTA MARÍA</v>
      </c>
      <c r="G3" s="182"/>
      <c r="H3" s="182"/>
      <c r="I3" s="182"/>
      <c r="J3" s="182"/>
      <c r="K3" s="182"/>
      <c r="L3" s="182"/>
      <c r="M3" s="182"/>
      <c r="N3" s="182"/>
      <c r="O3" s="183"/>
    </row>
    <row r="4" spans="1:24" ht="15.75" customHeight="1" x14ac:dyDescent="0.25">
      <c r="A4" s="184" t="s">
        <v>1</v>
      </c>
      <c r="B4" s="185"/>
      <c r="C4" s="185"/>
      <c r="D4" s="185"/>
      <c r="E4" s="185"/>
      <c r="F4" s="186" t="str">
        <f>'SET SP Sta.Mría'!$B17</f>
        <v>Continuidad del Servicio (Aseo)</v>
      </c>
      <c r="G4" s="186"/>
      <c r="H4" s="186"/>
      <c r="I4" s="186"/>
      <c r="J4" s="186"/>
      <c r="K4" s="186"/>
      <c r="L4" s="186"/>
      <c r="M4" s="186"/>
      <c r="N4" s="186"/>
      <c r="O4" s="256"/>
    </row>
    <row r="5" spans="1:24" ht="15.75" customHeight="1" x14ac:dyDescent="0.25">
      <c r="A5" s="184" t="s">
        <v>55</v>
      </c>
      <c r="B5" s="185"/>
      <c r="C5" s="185"/>
      <c r="D5" s="185"/>
      <c r="E5" s="185"/>
      <c r="F5" s="203" t="str">
        <f>'SET SP Sta.Mría'!F17</f>
        <v xml:space="preserve">Eficiencia </v>
      </c>
      <c r="G5" s="204"/>
      <c r="H5" s="204"/>
      <c r="I5" s="204"/>
      <c r="J5" s="204"/>
      <c r="K5" s="204"/>
      <c r="L5" s="204"/>
      <c r="M5" s="204"/>
      <c r="N5" s="204"/>
      <c r="O5" s="205"/>
    </row>
    <row r="6" spans="1:24" ht="17.25" customHeight="1" thickBot="1" x14ac:dyDescent="0.3">
      <c r="A6" s="189" t="s">
        <v>21</v>
      </c>
      <c r="B6" s="190"/>
      <c r="C6" s="190"/>
      <c r="D6" s="190"/>
      <c r="E6" s="190"/>
      <c r="F6" s="26" t="s">
        <v>94</v>
      </c>
      <c r="G6" s="191" t="str">
        <f>'SET SP Sta.Mría'!A17</f>
        <v>IN12</v>
      </c>
      <c r="H6" s="191"/>
      <c r="I6" s="191"/>
      <c r="J6" s="191"/>
      <c r="K6" s="191"/>
      <c r="L6" s="191"/>
      <c r="M6" s="191"/>
      <c r="N6" s="191"/>
      <c r="O6" s="260"/>
    </row>
    <row r="7" spans="1:24" ht="12.75" customHeight="1" x14ac:dyDescent="0.25">
      <c r="A7" s="194" t="s">
        <v>22</v>
      </c>
      <c r="B7" s="195"/>
      <c r="C7" s="195"/>
      <c r="D7" s="195"/>
      <c r="E7" s="198" t="s">
        <v>23</v>
      </c>
      <c r="F7" s="198" t="s">
        <v>24</v>
      </c>
      <c r="G7" s="198"/>
      <c r="H7" s="198" t="s">
        <v>25</v>
      </c>
      <c r="I7" s="198" t="s">
        <v>26</v>
      </c>
      <c r="J7" s="198" t="s">
        <v>27</v>
      </c>
      <c r="K7" s="198"/>
      <c r="L7" s="200" t="s">
        <v>28</v>
      </c>
      <c r="M7" s="200"/>
      <c r="N7" s="200"/>
      <c r="O7" s="201"/>
    </row>
    <row r="8" spans="1:24" ht="46.5" customHeight="1" x14ac:dyDescent="0.25">
      <c r="A8" s="196"/>
      <c r="B8" s="197"/>
      <c r="C8" s="197"/>
      <c r="D8" s="197"/>
      <c r="E8" s="199"/>
      <c r="F8" s="199"/>
      <c r="G8" s="199"/>
      <c r="H8" s="199"/>
      <c r="I8" s="199"/>
      <c r="J8" s="199"/>
      <c r="K8" s="199"/>
      <c r="L8" s="197" t="s">
        <v>29</v>
      </c>
      <c r="M8" s="197"/>
      <c r="N8" s="197" t="s">
        <v>30</v>
      </c>
      <c r="O8" s="202"/>
    </row>
    <row r="9" spans="1:24" ht="48.75" customHeight="1" thickBot="1" x14ac:dyDescent="0.3">
      <c r="A9" s="210" t="str">
        <f>'SET SP Sta.Mría'!$C17</f>
        <v>Recolectar los residuos solidos en los dias y rutas establecidas en el PEGIRS.</v>
      </c>
      <c r="B9" s="211"/>
      <c r="C9" s="211"/>
      <c r="D9" s="211"/>
      <c r="E9" s="17" t="s">
        <v>35</v>
      </c>
      <c r="F9" s="280" t="str">
        <f>'SET SP Sta.Mría'!$D17</f>
        <v>Número de dias de recolección de residuos sólidos por semestre/ 144</v>
      </c>
      <c r="G9" s="286"/>
      <c r="H9" s="14">
        <f>$O16</f>
        <v>1</v>
      </c>
      <c r="I9" s="37" t="str">
        <f>'SET SP Sta.Mría'!$E17</f>
        <v>Semestral</v>
      </c>
      <c r="J9" s="212" t="s">
        <v>89</v>
      </c>
      <c r="K9" s="213"/>
      <c r="L9" s="213"/>
      <c r="M9" s="213"/>
      <c r="N9" s="213"/>
      <c r="O9" s="214"/>
    </row>
    <row r="10" spans="1:24" ht="13.5" customHeight="1" x14ac:dyDescent="0.25">
      <c r="A10" s="220" t="s">
        <v>38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2"/>
    </row>
    <row r="11" spans="1:24" ht="21.75" customHeight="1" thickBot="1" x14ac:dyDescent="0.3">
      <c r="A11" s="223"/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5"/>
    </row>
    <row r="12" spans="1:24" ht="15" customHeight="1" thickBot="1" x14ac:dyDescent="0.3">
      <c r="A12" s="269" t="s">
        <v>31</v>
      </c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1"/>
      <c r="V12" s="9"/>
      <c r="W12" s="38"/>
      <c r="X12" s="38"/>
    </row>
    <row r="13" spans="1:24" ht="16.5" customHeight="1" x14ac:dyDescent="0.25">
      <c r="A13" s="229" t="s">
        <v>273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1"/>
      <c r="V13" s="9"/>
      <c r="W13" s="10"/>
      <c r="X13" s="10"/>
    </row>
    <row r="14" spans="1:24" ht="16.5" customHeight="1" x14ac:dyDescent="0.25">
      <c r="A14" s="232" t="s">
        <v>32</v>
      </c>
      <c r="B14" s="233"/>
      <c r="C14" s="93" t="s">
        <v>8</v>
      </c>
      <c r="D14" s="93" t="s">
        <v>9</v>
      </c>
      <c r="E14" s="93" t="s">
        <v>10</v>
      </c>
      <c r="F14" s="93" t="s">
        <v>11</v>
      </c>
      <c r="G14" s="93" t="s">
        <v>12</v>
      </c>
      <c r="H14" s="93" t="s">
        <v>13</v>
      </c>
      <c r="I14" s="93" t="s">
        <v>14</v>
      </c>
      <c r="J14" s="93" t="s">
        <v>15</v>
      </c>
      <c r="K14" s="93" t="s">
        <v>16</v>
      </c>
      <c r="L14" s="93" t="s">
        <v>17</v>
      </c>
      <c r="M14" s="93" t="s">
        <v>18</v>
      </c>
      <c r="N14" s="93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40" t="s">
        <v>39</v>
      </c>
      <c r="B15" s="241"/>
      <c r="C15" s="124">
        <f t="shared" ref="C15:N15" si="0">$O$15</f>
        <v>0.98</v>
      </c>
      <c r="D15" s="124">
        <f t="shared" si="0"/>
        <v>0.98</v>
      </c>
      <c r="E15" s="124">
        <f t="shared" si="0"/>
        <v>0.98</v>
      </c>
      <c r="F15" s="124">
        <f t="shared" si="0"/>
        <v>0.98</v>
      </c>
      <c r="G15" s="124">
        <f t="shared" si="0"/>
        <v>0.98</v>
      </c>
      <c r="H15" s="124">
        <f t="shared" si="0"/>
        <v>0.98</v>
      </c>
      <c r="I15" s="124">
        <f t="shared" si="0"/>
        <v>0.98</v>
      </c>
      <c r="J15" s="124">
        <f t="shared" si="0"/>
        <v>0.98</v>
      </c>
      <c r="K15" s="124">
        <f t="shared" si="0"/>
        <v>0.98</v>
      </c>
      <c r="L15" s="124">
        <f t="shared" si="0"/>
        <v>0.98</v>
      </c>
      <c r="M15" s="124">
        <f t="shared" si="0"/>
        <v>0.98</v>
      </c>
      <c r="N15" s="124">
        <f t="shared" si="0"/>
        <v>0.98</v>
      </c>
      <c r="O15" s="130">
        <f>'SET SP Sta.Mría'!J17</f>
        <v>0.98</v>
      </c>
      <c r="V15" s="9"/>
      <c r="W15" s="10"/>
      <c r="X15" s="10"/>
    </row>
    <row r="16" spans="1:24" ht="17.25" customHeight="1" x14ac:dyDescent="0.25">
      <c r="A16" s="240" t="s">
        <v>272</v>
      </c>
      <c r="B16" s="241"/>
      <c r="C16" s="124">
        <f t="shared" ref="C16:N16" si="1">$O$16</f>
        <v>1</v>
      </c>
      <c r="D16" s="124">
        <f t="shared" si="1"/>
        <v>1</v>
      </c>
      <c r="E16" s="124">
        <f t="shared" si="1"/>
        <v>1</v>
      </c>
      <c r="F16" s="124">
        <f t="shared" si="1"/>
        <v>1</v>
      </c>
      <c r="G16" s="124">
        <f t="shared" si="1"/>
        <v>1</v>
      </c>
      <c r="H16" s="124">
        <f t="shared" si="1"/>
        <v>1</v>
      </c>
      <c r="I16" s="124">
        <f t="shared" si="1"/>
        <v>1</v>
      </c>
      <c r="J16" s="124">
        <f t="shared" si="1"/>
        <v>1</v>
      </c>
      <c r="K16" s="124">
        <f t="shared" si="1"/>
        <v>1</v>
      </c>
      <c r="L16" s="124">
        <f t="shared" si="1"/>
        <v>1</v>
      </c>
      <c r="M16" s="124">
        <f t="shared" si="1"/>
        <v>1</v>
      </c>
      <c r="N16" s="124">
        <f t="shared" si="1"/>
        <v>1</v>
      </c>
      <c r="O16" s="130">
        <f>'SET SP Sta.Mría'!K17</f>
        <v>1</v>
      </c>
      <c r="V16" s="9"/>
      <c r="W16" s="10"/>
      <c r="X16" s="10"/>
    </row>
    <row r="17" spans="1:24" ht="17.25" customHeight="1" x14ac:dyDescent="0.25">
      <c r="A17" s="244" t="s">
        <v>264</v>
      </c>
      <c r="B17" s="245"/>
      <c r="C17" s="12" t="str">
        <f>IF(ISNUMBER(C18),C18/144,"-")</f>
        <v>-</v>
      </c>
      <c r="D17" s="12" t="str">
        <f t="shared" ref="D17:N17" si="2">IF(ISNUMBER(D18),D18/144,"-")</f>
        <v>-</v>
      </c>
      <c r="E17" s="12" t="str">
        <f t="shared" si="2"/>
        <v>-</v>
      </c>
      <c r="F17" s="12" t="str">
        <f t="shared" si="2"/>
        <v>-</v>
      </c>
      <c r="G17" s="12" t="str">
        <f t="shared" si="2"/>
        <v>-</v>
      </c>
      <c r="H17" s="12" t="str">
        <f t="shared" si="2"/>
        <v>-</v>
      </c>
      <c r="I17" s="12" t="str">
        <f t="shared" si="2"/>
        <v>-</v>
      </c>
      <c r="J17" s="12" t="str">
        <f t="shared" si="2"/>
        <v>-</v>
      </c>
      <c r="K17" s="12" t="str">
        <f t="shared" si="2"/>
        <v>-</v>
      </c>
      <c r="L17" s="12" t="str">
        <f t="shared" si="2"/>
        <v>-</v>
      </c>
      <c r="M17" s="12" t="str">
        <f t="shared" si="2"/>
        <v>-</v>
      </c>
      <c r="N17" s="12" t="str">
        <f t="shared" si="2"/>
        <v>-</v>
      </c>
      <c r="O17" s="13" t="str">
        <f t="shared" ref="O17" si="3">IF((O18),O18/144,"-")</f>
        <v>-</v>
      </c>
      <c r="V17" s="9"/>
      <c r="W17" s="10"/>
      <c r="X17" s="10"/>
    </row>
    <row r="18" spans="1:24" ht="21.75" customHeight="1" x14ac:dyDescent="0.25">
      <c r="A18" s="246" t="s">
        <v>37</v>
      </c>
      <c r="B18" s="40" t="s">
        <v>144</v>
      </c>
      <c r="C18" s="4" t="s">
        <v>174</v>
      </c>
      <c r="D18" s="4" t="s">
        <v>174</v>
      </c>
      <c r="E18" s="4" t="s">
        <v>174</v>
      </c>
      <c r="F18" s="4" t="s">
        <v>174</v>
      </c>
      <c r="G18" s="4" t="s">
        <v>174</v>
      </c>
      <c r="H18" s="4" t="s">
        <v>174</v>
      </c>
      <c r="I18" s="4" t="s">
        <v>174</v>
      </c>
      <c r="J18" s="4" t="s">
        <v>174</v>
      </c>
      <c r="K18" s="4" t="s">
        <v>174</v>
      </c>
      <c r="L18" s="4" t="s">
        <v>174</v>
      </c>
      <c r="M18" s="4" t="s">
        <v>174</v>
      </c>
      <c r="N18" s="4" t="s">
        <v>174</v>
      </c>
      <c r="O18" s="19">
        <f>SUM(C18:N18)</f>
        <v>0</v>
      </c>
      <c r="V18" s="9"/>
      <c r="W18" s="10"/>
      <c r="X18" s="10"/>
    </row>
    <row r="19" spans="1:24" ht="18" customHeight="1" x14ac:dyDescent="0.25">
      <c r="A19" s="246"/>
      <c r="B19" s="4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9"/>
      <c r="V19" s="9"/>
      <c r="W19" s="10"/>
      <c r="X19" s="10"/>
    </row>
    <row r="20" spans="1:24" ht="13.5" customHeight="1" x14ac:dyDescent="0.25">
      <c r="A20" s="246"/>
      <c r="B20" s="9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3.5" customHeight="1" thickBot="1" x14ac:dyDescent="0.3">
      <c r="A21" s="247"/>
      <c r="B21" s="94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248" t="s">
        <v>34</v>
      </c>
      <c r="B22" s="249"/>
      <c r="C22" s="250"/>
      <c r="D22" s="237" t="str">
        <f>'SET SP Sta.Mría'!$G17</f>
        <v>Entre 91% y 100%</v>
      </c>
      <c r="E22" s="238"/>
      <c r="F22" s="238"/>
      <c r="G22" s="239"/>
      <c r="H22" s="237" t="str">
        <f>'SET SP Sta.Mría'!$H17</f>
        <v>Entre 71% y 90%</v>
      </c>
      <c r="I22" s="238"/>
      <c r="J22" s="238"/>
      <c r="K22" s="239"/>
      <c r="L22" s="237" t="str">
        <f>'SET SP Sta.Mría'!$I17</f>
        <v>Menor al 70%</v>
      </c>
      <c r="M22" s="242"/>
      <c r="N22" s="242"/>
      <c r="O22" s="243"/>
      <c r="V22" s="9"/>
      <c r="W22" s="10"/>
      <c r="X22" s="10"/>
    </row>
    <row r="23" spans="1:24" ht="33" customHeight="1" thickBot="1" x14ac:dyDescent="0.3">
      <c r="A23" s="251"/>
      <c r="B23" s="252"/>
      <c r="C23" s="252"/>
      <c r="D23" s="253" t="s">
        <v>7</v>
      </c>
      <c r="E23" s="253"/>
      <c r="F23" s="253"/>
      <c r="G23" s="253"/>
      <c r="H23" s="254" t="s">
        <v>61</v>
      </c>
      <c r="I23" s="254"/>
      <c r="J23" s="254"/>
      <c r="K23" s="254"/>
      <c r="L23" s="215" t="s">
        <v>62</v>
      </c>
      <c r="M23" s="215"/>
      <c r="N23" s="215"/>
      <c r="O23" s="216"/>
      <c r="V23" s="9"/>
      <c r="W23" s="10"/>
      <c r="X23" s="10"/>
    </row>
    <row r="24" spans="1:24" ht="15.75" customHeight="1" thickBot="1" x14ac:dyDescent="0.3">
      <c r="A24" s="217" t="s">
        <v>36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9"/>
      <c r="V24" s="9"/>
      <c r="W24" s="10"/>
      <c r="X24" s="10"/>
    </row>
    <row r="25" spans="1:24" ht="264.75" customHeight="1" thickBot="1" x14ac:dyDescent="0.3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6"/>
      <c r="V25" s="9"/>
    </row>
    <row r="26" spans="1:24" ht="15" customHeight="1" x14ac:dyDescent="0.25">
      <c r="A26" s="206" t="s">
        <v>58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8" t="s">
        <v>60</v>
      </c>
      <c r="O26" s="209"/>
    </row>
    <row r="27" spans="1:24" ht="15" customHeight="1" x14ac:dyDescent="0.25">
      <c r="A27" s="167" t="s">
        <v>300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9">
        <v>43101</v>
      </c>
      <c r="O27" s="170"/>
    </row>
    <row r="28" spans="1:24" ht="15" customHeight="1" x14ac:dyDescent="0.25">
      <c r="A28" s="167"/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9">
        <v>43132</v>
      </c>
      <c r="O28" s="170"/>
    </row>
    <row r="29" spans="1:24" ht="15" customHeight="1" x14ac:dyDescent="0.25">
      <c r="A29" s="167"/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9">
        <v>43160</v>
      </c>
      <c r="O29" s="170"/>
    </row>
    <row r="30" spans="1:24" ht="15" customHeight="1" x14ac:dyDescent="0.25">
      <c r="A30" s="167"/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9">
        <v>43191</v>
      </c>
      <c r="O30" s="170"/>
    </row>
    <row r="31" spans="1:24" ht="15" customHeight="1" x14ac:dyDescent="0.25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9">
        <v>43221</v>
      </c>
      <c r="O31" s="170"/>
    </row>
    <row r="32" spans="1:24" ht="15" customHeight="1" x14ac:dyDescent="0.25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9">
        <v>43252</v>
      </c>
      <c r="O32" s="170"/>
    </row>
    <row r="33" spans="1:17" ht="15" customHeight="1" x14ac:dyDescent="0.25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9">
        <v>43282</v>
      </c>
      <c r="O33" s="170"/>
    </row>
    <row r="34" spans="1:17" ht="15" customHeight="1" x14ac:dyDescent="0.25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9">
        <v>43313</v>
      </c>
      <c r="O34" s="170"/>
    </row>
    <row r="35" spans="1:17" ht="15" customHeight="1" x14ac:dyDescent="0.25">
      <c r="A35" s="167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9">
        <v>43344</v>
      </c>
      <c r="O35" s="170"/>
    </row>
    <row r="36" spans="1:17" ht="15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9">
        <v>43374</v>
      </c>
      <c r="O36" s="170"/>
    </row>
    <row r="37" spans="1:17" ht="15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9">
        <v>43405</v>
      </c>
      <c r="O37" s="170"/>
    </row>
    <row r="38" spans="1:17" ht="15" customHeight="1" thickBot="1" x14ac:dyDescent="0.3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9">
        <v>43435</v>
      </c>
      <c r="O38" s="170"/>
    </row>
    <row r="39" spans="1:17" ht="19.5" customHeight="1" x14ac:dyDescent="0.25">
      <c r="A39" s="206" t="s">
        <v>59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8" t="s">
        <v>60</v>
      </c>
      <c r="O39" s="209"/>
    </row>
    <row r="40" spans="1:17" ht="15" x14ac:dyDescent="0.25">
      <c r="A40" s="167" t="s">
        <v>3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272" t="s">
        <v>3</v>
      </c>
      <c r="O40" s="273"/>
    </row>
    <row r="41" spans="1:17" ht="15.75" thickBot="1" x14ac:dyDescent="0.3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8"/>
      <c r="O41" s="274"/>
    </row>
    <row r="42" spans="1:17" ht="5.25" customHeight="1" x14ac:dyDescent="0.25">
      <c r="A42" s="255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</row>
    <row r="44" spans="1:17" ht="14.25" x14ac:dyDescent="0.2">
      <c r="Q44" s="49" t="s">
        <v>81</v>
      </c>
    </row>
    <row r="45" spans="1:17" ht="14.25" x14ac:dyDescent="0.2">
      <c r="Q45" s="49" t="s">
        <v>82</v>
      </c>
    </row>
    <row r="46" spans="1:17" ht="14.25" x14ac:dyDescent="0.2">
      <c r="Q46" s="49" t="s">
        <v>83</v>
      </c>
    </row>
    <row r="47" spans="1:17" ht="14.25" x14ac:dyDescent="0.2">
      <c r="Q47" s="49" t="s">
        <v>84</v>
      </c>
    </row>
    <row r="48" spans="1:17" ht="14.25" x14ac:dyDescent="0.2">
      <c r="Q48" s="49" t="s">
        <v>85</v>
      </c>
    </row>
    <row r="49" spans="17:17" ht="14.25" x14ac:dyDescent="0.2">
      <c r="Q49" s="49" t="s">
        <v>86</v>
      </c>
    </row>
    <row r="50" spans="17:17" ht="14.25" x14ac:dyDescent="0.2">
      <c r="Q50" s="49" t="s">
        <v>87</v>
      </c>
    </row>
    <row r="51" spans="17:17" ht="14.25" x14ac:dyDescent="0.2">
      <c r="Q51" s="49" t="s">
        <v>88</v>
      </c>
    </row>
    <row r="52" spans="17:17" ht="14.25" x14ac:dyDescent="0.2">
      <c r="Q52" s="49" t="s">
        <v>89</v>
      </c>
    </row>
    <row r="53" spans="17:17" ht="14.25" x14ac:dyDescent="0.2">
      <c r="Q53" s="49" t="s">
        <v>90</v>
      </c>
    </row>
    <row r="54" spans="17:17" ht="14.25" x14ac:dyDescent="0.2">
      <c r="Q54" s="49" t="s">
        <v>91</v>
      </c>
    </row>
    <row r="55" spans="17:17" ht="14.25" x14ac:dyDescent="0.2">
      <c r="Q55" s="49" t="s">
        <v>92</v>
      </c>
    </row>
    <row r="56" spans="17:17" ht="14.25" x14ac:dyDescent="0.2">
      <c r="Q56" s="49" t="s">
        <v>93</v>
      </c>
    </row>
    <row r="58" spans="17:17" x14ac:dyDescent="0.25">
      <c r="Q58" s="11">
        <v>0.98</v>
      </c>
    </row>
    <row r="59" spans="17:17" x14ac:dyDescent="0.25">
      <c r="Q59" s="11">
        <v>1</v>
      </c>
    </row>
  </sheetData>
  <mergeCells count="74">
    <mergeCell ref="A4:E4"/>
    <mergeCell ref="F4:O4"/>
    <mergeCell ref="A1:C2"/>
    <mergeCell ref="D1:O1"/>
    <mergeCell ref="D2:O2"/>
    <mergeCell ref="A3:E3"/>
    <mergeCell ref="F3:O3"/>
    <mergeCell ref="A5:E5"/>
    <mergeCell ref="F5:O5"/>
    <mergeCell ref="A6:E6"/>
    <mergeCell ref="G6:O6"/>
    <mergeCell ref="A7:D8"/>
    <mergeCell ref="E7:E8"/>
    <mergeCell ref="F7:G8"/>
    <mergeCell ref="H7:H8"/>
    <mergeCell ref="I7:I8"/>
    <mergeCell ref="J7:K8"/>
    <mergeCell ref="A15:B15"/>
    <mergeCell ref="L7:O7"/>
    <mergeCell ref="L8:M8"/>
    <mergeCell ref="N8:O8"/>
    <mergeCell ref="A9:D9"/>
    <mergeCell ref="F9:G9"/>
    <mergeCell ref="J9:O9"/>
    <mergeCell ref="A10:O10"/>
    <mergeCell ref="A11:O11"/>
    <mergeCell ref="A12:O12"/>
    <mergeCell ref="A13:O13"/>
    <mergeCell ref="A14:B14"/>
    <mergeCell ref="A25:O25"/>
    <mergeCell ref="A16:B16"/>
    <mergeCell ref="A17:B17"/>
    <mergeCell ref="A18:A21"/>
    <mergeCell ref="A22:C23"/>
    <mergeCell ref="D22:G22"/>
    <mergeCell ref="H22:K22"/>
    <mergeCell ref="L22:O22"/>
    <mergeCell ref="D23:G23"/>
    <mergeCell ref="H23:K23"/>
    <mergeCell ref="L23:O23"/>
    <mergeCell ref="A24:O24"/>
    <mergeCell ref="A29:M29"/>
    <mergeCell ref="N29:O29"/>
    <mergeCell ref="A30:M30"/>
    <mergeCell ref="N30:O30"/>
    <mergeCell ref="A31:M31"/>
    <mergeCell ref="N31:O31"/>
    <mergeCell ref="A26:M26"/>
    <mergeCell ref="N26:O26"/>
    <mergeCell ref="A27:M27"/>
    <mergeCell ref="N27:O27"/>
    <mergeCell ref="A28:M28"/>
    <mergeCell ref="N28:O28"/>
    <mergeCell ref="A42:O42"/>
    <mergeCell ref="A39:M39"/>
    <mergeCell ref="N39:O39"/>
    <mergeCell ref="A40:M40"/>
    <mergeCell ref="N40:O40"/>
    <mergeCell ref="A41:M41"/>
    <mergeCell ref="N41:O41"/>
    <mergeCell ref="A32:M32"/>
    <mergeCell ref="N32:O32"/>
    <mergeCell ref="A33:M33"/>
    <mergeCell ref="N33:O33"/>
    <mergeCell ref="A34:M34"/>
    <mergeCell ref="N34:O34"/>
    <mergeCell ref="A38:M38"/>
    <mergeCell ref="N38:O38"/>
    <mergeCell ref="A35:M35"/>
    <mergeCell ref="N35:O35"/>
    <mergeCell ref="A36:M36"/>
    <mergeCell ref="N36:O36"/>
    <mergeCell ref="A37:M37"/>
    <mergeCell ref="N37:O37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9"/>
  <sheetViews>
    <sheetView topLeftCell="A24" zoomScaleSheetLayoutView="72" workbookViewId="0">
      <selection activeCell="A40" sqref="A40:M40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8.140625" style="3" customWidth="1"/>
    <col min="17" max="17" width="8" style="3" hidden="1" customWidth="1"/>
    <col min="18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75"/>
      <c r="B1" s="176"/>
      <c r="C1" s="177"/>
      <c r="D1" s="171" t="s">
        <v>20</v>
      </c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2"/>
    </row>
    <row r="2" spans="1:24" ht="15.75" customHeight="1" thickBot="1" x14ac:dyDescent="0.3">
      <c r="A2" s="178"/>
      <c r="B2" s="179"/>
      <c r="C2" s="180"/>
      <c r="D2" s="173" t="s">
        <v>67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4"/>
    </row>
    <row r="3" spans="1:24" ht="13.5" customHeight="1" x14ac:dyDescent="0.25">
      <c r="A3" s="181" t="s">
        <v>0</v>
      </c>
      <c r="B3" s="182"/>
      <c r="C3" s="182"/>
      <c r="D3" s="182"/>
      <c r="E3" s="182"/>
      <c r="F3" s="182" t="str">
        <f>'SET SP Sta.Mría'!J3</f>
        <v>GESTIÓN DE SERVICIOS PÚBLICOS - SANTA MARÍA</v>
      </c>
      <c r="G3" s="182"/>
      <c r="H3" s="182"/>
      <c r="I3" s="182"/>
      <c r="J3" s="182"/>
      <c r="K3" s="182"/>
      <c r="L3" s="182"/>
      <c r="M3" s="182"/>
      <c r="N3" s="182"/>
      <c r="O3" s="183"/>
    </row>
    <row r="4" spans="1:24" ht="15.75" customHeight="1" x14ac:dyDescent="0.25">
      <c r="A4" s="184" t="s">
        <v>1</v>
      </c>
      <c r="B4" s="185"/>
      <c r="C4" s="185"/>
      <c r="D4" s="185"/>
      <c r="E4" s="185"/>
      <c r="F4" s="186" t="str">
        <f>'SET SP Sta.Mría'!$B18</f>
        <v>PQR en la prestación del servicio.</v>
      </c>
      <c r="G4" s="186"/>
      <c r="H4" s="186"/>
      <c r="I4" s="186"/>
      <c r="J4" s="186"/>
      <c r="K4" s="186"/>
      <c r="L4" s="186"/>
      <c r="M4" s="186"/>
      <c r="N4" s="186"/>
      <c r="O4" s="256"/>
    </row>
    <row r="5" spans="1:24" ht="15.75" customHeight="1" x14ac:dyDescent="0.25">
      <c r="A5" s="184" t="s">
        <v>55</v>
      </c>
      <c r="B5" s="185"/>
      <c r="C5" s="185"/>
      <c r="D5" s="185"/>
      <c r="E5" s="185"/>
      <c r="F5" s="203" t="str">
        <f>'SET SP Sta.Mría'!F18</f>
        <v xml:space="preserve">Eficiencia </v>
      </c>
      <c r="G5" s="204"/>
      <c r="H5" s="204"/>
      <c r="I5" s="204"/>
      <c r="J5" s="204"/>
      <c r="K5" s="204"/>
      <c r="L5" s="204"/>
      <c r="M5" s="204"/>
      <c r="N5" s="204"/>
      <c r="O5" s="205"/>
    </row>
    <row r="6" spans="1:24" ht="17.25" customHeight="1" thickBot="1" x14ac:dyDescent="0.3">
      <c r="A6" s="189" t="s">
        <v>21</v>
      </c>
      <c r="B6" s="190"/>
      <c r="C6" s="190"/>
      <c r="D6" s="190"/>
      <c r="E6" s="190"/>
      <c r="F6" s="26" t="s">
        <v>94</v>
      </c>
      <c r="G6" s="191" t="str">
        <f>'SET SP Sta.Mría'!A18</f>
        <v>IN13</v>
      </c>
      <c r="H6" s="191"/>
      <c r="I6" s="191"/>
      <c r="J6" s="191"/>
      <c r="K6" s="191"/>
      <c r="L6" s="191"/>
      <c r="M6" s="191"/>
      <c r="N6" s="191"/>
      <c r="O6" s="260"/>
    </row>
    <row r="7" spans="1:24" ht="12.75" customHeight="1" x14ac:dyDescent="0.25">
      <c r="A7" s="194" t="s">
        <v>22</v>
      </c>
      <c r="B7" s="195"/>
      <c r="C7" s="195"/>
      <c r="D7" s="195"/>
      <c r="E7" s="198" t="s">
        <v>23</v>
      </c>
      <c r="F7" s="198" t="s">
        <v>24</v>
      </c>
      <c r="G7" s="198"/>
      <c r="H7" s="198" t="s">
        <v>25</v>
      </c>
      <c r="I7" s="198" t="s">
        <v>26</v>
      </c>
      <c r="J7" s="198" t="s">
        <v>27</v>
      </c>
      <c r="K7" s="198"/>
      <c r="L7" s="200" t="s">
        <v>28</v>
      </c>
      <c r="M7" s="200"/>
      <c r="N7" s="200"/>
      <c r="O7" s="201"/>
    </row>
    <row r="8" spans="1:24" ht="46.5" customHeight="1" x14ac:dyDescent="0.25">
      <c r="A8" s="196"/>
      <c r="B8" s="197"/>
      <c r="C8" s="197"/>
      <c r="D8" s="197"/>
      <c r="E8" s="199"/>
      <c r="F8" s="199"/>
      <c r="G8" s="199"/>
      <c r="H8" s="199"/>
      <c r="I8" s="199"/>
      <c r="J8" s="199"/>
      <c r="K8" s="199"/>
      <c r="L8" s="197" t="s">
        <v>29</v>
      </c>
      <c r="M8" s="197"/>
      <c r="N8" s="197" t="s">
        <v>30</v>
      </c>
      <c r="O8" s="202"/>
    </row>
    <row r="9" spans="1:24" ht="48" customHeight="1" thickBot="1" x14ac:dyDescent="0.3">
      <c r="A9" s="210" t="str">
        <f>'SET SP Sta.Mría'!$C18</f>
        <v>Medir el grado de satisfación de los suscriptores en la prestación del servicio.</v>
      </c>
      <c r="B9" s="211"/>
      <c r="C9" s="211"/>
      <c r="D9" s="211"/>
      <c r="E9" s="17" t="s">
        <v>35</v>
      </c>
      <c r="F9" s="280" t="str">
        <f>'SET SP Sta.Mría'!$D18</f>
        <v>Número de PQR recibidas / número de suscriptores del servicio *100</v>
      </c>
      <c r="G9" s="286"/>
      <c r="H9" s="14" t="str">
        <f>$O16</f>
        <v>&lt; %</v>
      </c>
      <c r="I9" s="37" t="str">
        <f>'SET SP Sta.Mría'!$E18</f>
        <v>Trimestral</v>
      </c>
      <c r="J9" s="212" t="s">
        <v>89</v>
      </c>
      <c r="K9" s="213"/>
      <c r="L9" s="213"/>
      <c r="M9" s="213"/>
      <c r="N9" s="213"/>
      <c r="O9" s="214"/>
    </row>
    <row r="10" spans="1:24" ht="13.5" customHeight="1" x14ac:dyDescent="0.25">
      <c r="A10" s="220" t="s">
        <v>38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2"/>
    </row>
    <row r="11" spans="1:24" ht="21.75" customHeight="1" thickBot="1" x14ac:dyDescent="0.3">
      <c r="A11" s="223"/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5"/>
    </row>
    <row r="12" spans="1:24" ht="15" customHeight="1" thickBot="1" x14ac:dyDescent="0.3">
      <c r="A12" s="269" t="s">
        <v>31</v>
      </c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1"/>
      <c r="V12" s="9"/>
      <c r="W12" s="38"/>
      <c r="X12" s="38"/>
    </row>
    <row r="13" spans="1:24" ht="16.5" customHeight="1" x14ac:dyDescent="0.25">
      <c r="A13" s="229" t="s">
        <v>273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1"/>
      <c r="V13" s="9"/>
      <c r="W13" s="10"/>
      <c r="X13" s="10"/>
    </row>
    <row r="14" spans="1:24" ht="16.5" customHeight="1" x14ac:dyDescent="0.25">
      <c r="A14" s="232" t="s">
        <v>32</v>
      </c>
      <c r="B14" s="233"/>
      <c r="C14" s="93" t="s">
        <v>8</v>
      </c>
      <c r="D14" s="93" t="s">
        <v>9</v>
      </c>
      <c r="E14" s="93" t="s">
        <v>10</v>
      </c>
      <c r="F14" s="93" t="s">
        <v>11</v>
      </c>
      <c r="G14" s="93" t="s">
        <v>12</v>
      </c>
      <c r="H14" s="93" t="s">
        <v>13</v>
      </c>
      <c r="I14" s="93" t="s">
        <v>14</v>
      </c>
      <c r="J14" s="93" t="s">
        <v>15</v>
      </c>
      <c r="K14" s="93" t="s">
        <v>16</v>
      </c>
      <c r="L14" s="93" t="s">
        <v>17</v>
      </c>
      <c r="M14" s="93" t="s">
        <v>18</v>
      </c>
      <c r="N14" s="93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40" t="s">
        <v>39</v>
      </c>
      <c r="B15" s="241"/>
      <c r="C15" s="124" t="str">
        <f t="shared" ref="C15:N15" si="0">$O$15</f>
        <v>&lt; 1%</v>
      </c>
      <c r="D15" s="124" t="str">
        <f t="shared" si="0"/>
        <v>&lt; 1%</v>
      </c>
      <c r="E15" s="124" t="str">
        <f t="shared" si="0"/>
        <v>&lt; 1%</v>
      </c>
      <c r="F15" s="124" t="str">
        <f t="shared" si="0"/>
        <v>&lt; 1%</v>
      </c>
      <c r="G15" s="124" t="str">
        <f t="shared" si="0"/>
        <v>&lt; 1%</v>
      </c>
      <c r="H15" s="124" t="str">
        <f t="shared" si="0"/>
        <v>&lt; 1%</v>
      </c>
      <c r="I15" s="124" t="str">
        <f t="shared" si="0"/>
        <v>&lt; 1%</v>
      </c>
      <c r="J15" s="124" t="str">
        <f t="shared" si="0"/>
        <v>&lt; 1%</v>
      </c>
      <c r="K15" s="124" t="str">
        <f t="shared" si="0"/>
        <v>&lt; 1%</v>
      </c>
      <c r="L15" s="124" t="str">
        <f t="shared" si="0"/>
        <v>&lt; 1%</v>
      </c>
      <c r="M15" s="124" t="str">
        <f t="shared" si="0"/>
        <v>&lt; 1%</v>
      </c>
      <c r="N15" s="124" t="str">
        <f t="shared" si="0"/>
        <v>&lt; 1%</v>
      </c>
      <c r="O15" s="130" t="str">
        <f>'SET SP Sta.Mría'!J18</f>
        <v>&lt; 1%</v>
      </c>
      <c r="V15" s="9"/>
      <c r="W15" s="10"/>
      <c r="X15" s="10"/>
    </row>
    <row r="16" spans="1:24" ht="17.25" customHeight="1" x14ac:dyDescent="0.25">
      <c r="A16" s="240" t="s">
        <v>272</v>
      </c>
      <c r="B16" s="241"/>
      <c r="C16" s="124" t="str">
        <f t="shared" ref="C16:N16" si="1">$O$16</f>
        <v>&lt; %</v>
      </c>
      <c r="D16" s="124" t="str">
        <f t="shared" si="1"/>
        <v>&lt; %</v>
      </c>
      <c r="E16" s="124" t="str">
        <f t="shared" si="1"/>
        <v>&lt; %</v>
      </c>
      <c r="F16" s="124" t="str">
        <f t="shared" si="1"/>
        <v>&lt; %</v>
      </c>
      <c r="G16" s="124" t="str">
        <f t="shared" si="1"/>
        <v>&lt; %</v>
      </c>
      <c r="H16" s="124" t="str">
        <f t="shared" si="1"/>
        <v>&lt; %</v>
      </c>
      <c r="I16" s="124" t="str">
        <f t="shared" si="1"/>
        <v>&lt; %</v>
      </c>
      <c r="J16" s="124" t="str">
        <f t="shared" si="1"/>
        <v>&lt; %</v>
      </c>
      <c r="K16" s="124" t="str">
        <f t="shared" si="1"/>
        <v>&lt; %</v>
      </c>
      <c r="L16" s="124" t="str">
        <f t="shared" si="1"/>
        <v>&lt; %</v>
      </c>
      <c r="M16" s="124" t="str">
        <f t="shared" si="1"/>
        <v>&lt; %</v>
      </c>
      <c r="N16" s="124" t="str">
        <f t="shared" si="1"/>
        <v>&lt; %</v>
      </c>
      <c r="O16" s="130" t="str">
        <f>'SET SP Sta.Mría'!K18</f>
        <v>&lt; %</v>
      </c>
      <c r="V16" s="9"/>
      <c r="W16" s="10"/>
      <c r="X16" s="10"/>
    </row>
    <row r="17" spans="1:24" ht="17.25" customHeight="1" x14ac:dyDescent="0.25">
      <c r="A17" s="244" t="s">
        <v>264</v>
      </c>
      <c r="B17" s="245"/>
      <c r="C17" s="12">
        <f t="shared" ref="C17:E17" si="2">IF((C19),C18/C19,"-")</f>
        <v>1.9455252918287938E-3</v>
      </c>
      <c r="D17" s="12">
        <f t="shared" si="2"/>
        <v>3.8910505836575876E-3</v>
      </c>
      <c r="E17" s="12">
        <f t="shared" si="2"/>
        <v>8.7463556851311956E-3</v>
      </c>
      <c r="F17" s="12">
        <f>IF((F19),F18/F19,"-")</f>
        <v>6.7961165048543689E-3</v>
      </c>
      <c r="G17" s="12">
        <f t="shared" ref="G17:O17" si="3">IF((G19),G18/G19,"-")</f>
        <v>5.8252427184466021E-3</v>
      </c>
      <c r="H17" s="12">
        <f t="shared" si="3"/>
        <v>3.875968992248062E-3</v>
      </c>
      <c r="I17" s="12">
        <f t="shared" si="3"/>
        <v>3.8684719535783366E-3</v>
      </c>
      <c r="J17" s="12">
        <f t="shared" si="3"/>
        <v>2.8790786948176585E-3</v>
      </c>
      <c r="K17" s="12">
        <f t="shared" si="3"/>
        <v>9.5785440613026813E-3</v>
      </c>
      <c r="L17" s="12">
        <f t="shared" si="3"/>
        <v>1.9138755980861245E-3</v>
      </c>
      <c r="M17" s="12">
        <f t="shared" si="3"/>
        <v>2.8625954198473282E-3</v>
      </c>
      <c r="N17" s="12">
        <f t="shared" si="3"/>
        <v>7.619047619047619E-3</v>
      </c>
      <c r="O17" s="13">
        <f t="shared" si="3"/>
        <v>4.9839228295819934E-3</v>
      </c>
      <c r="V17" s="9"/>
      <c r="W17" s="10"/>
      <c r="X17" s="10"/>
    </row>
    <row r="18" spans="1:24" ht="15" customHeight="1" x14ac:dyDescent="0.25">
      <c r="A18" s="246" t="s">
        <v>37</v>
      </c>
      <c r="B18" s="40" t="s">
        <v>166</v>
      </c>
      <c r="C18" s="23">
        <f>+'STA MARIA-18'!D40</f>
        <v>2</v>
      </c>
      <c r="D18" s="23">
        <f>+'STA MARIA-18'!E40</f>
        <v>4</v>
      </c>
      <c r="E18" s="23">
        <f>+'STA MARIA-18'!F40</f>
        <v>9</v>
      </c>
      <c r="F18" s="23">
        <f>+'STA MARIA-18'!G40</f>
        <v>7</v>
      </c>
      <c r="G18" s="23">
        <f>+'STA MARIA-18'!H40</f>
        <v>6</v>
      </c>
      <c r="H18" s="23">
        <f>+'STA MARIA-18'!I40</f>
        <v>4</v>
      </c>
      <c r="I18" s="23">
        <f>+'STA MARIA-18'!J40</f>
        <v>4</v>
      </c>
      <c r="J18" s="23">
        <f>+'STA MARIA-18'!K40</f>
        <v>3</v>
      </c>
      <c r="K18" s="23">
        <f>+'STA MARIA-18'!L40</f>
        <v>10</v>
      </c>
      <c r="L18" s="23">
        <f>+'STA MARIA-18'!M40</f>
        <v>2</v>
      </c>
      <c r="M18" s="23">
        <f>+'STA MARIA-18'!N40</f>
        <v>3</v>
      </c>
      <c r="N18" s="23">
        <f>+'STA MARIA-18'!O40</f>
        <v>8</v>
      </c>
      <c r="O18" s="24">
        <f>SUM(C18:N18)</f>
        <v>62</v>
      </c>
      <c r="V18" s="9"/>
      <c r="W18" s="10"/>
      <c r="X18" s="10"/>
    </row>
    <row r="19" spans="1:24" ht="12.75" customHeight="1" x14ac:dyDescent="0.25">
      <c r="A19" s="246"/>
      <c r="B19" s="40" t="s">
        <v>167</v>
      </c>
      <c r="C19" s="23">
        <f>+'06'!C18</f>
        <v>1028</v>
      </c>
      <c r="D19" s="23">
        <f>+'06'!D18</f>
        <v>1028</v>
      </c>
      <c r="E19" s="23">
        <f>+'06'!E18</f>
        <v>1029</v>
      </c>
      <c r="F19" s="23">
        <f>+'06'!F18</f>
        <v>1030</v>
      </c>
      <c r="G19" s="23">
        <f>+'06'!G18</f>
        <v>1030</v>
      </c>
      <c r="H19" s="23">
        <f>+'06'!H18</f>
        <v>1032</v>
      </c>
      <c r="I19" s="23">
        <f>+'06'!I18</f>
        <v>1034</v>
      </c>
      <c r="J19" s="23">
        <f>+'06'!J18</f>
        <v>1042</v>
      </c>
      <c r="K19" s="23">
        <f>+'06'!K18</f>
        <v>1044</v>
      </c>
      <c r="L19" s="23">
        <f>+'06'!L18</f>
        <v>1045</v>
      </c>
      <c r="M19" s="23">
        <f>+'06'!M18</f>
        <v>1048</v>
      </c>
      <c r="N19" s="23">
        <f>+'06'!N18</f>
        <v>1050</v>
      </c>
      <c r="O19" s="24">
        <f>SUM(C19:N19)</f>
        <v>12440</v>
      </c>
      <c r="V19" s="9"/>
      <c r="W19" s="10"/>
      <c r="X19" s="10"/>
    </row>
    <row r="20" spans="1:24" ht="12.75" customHeight="1" x14ac:dyDescent="0.25">
      <c r="A20" s="246"/>
      <c r="B20" s="9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3.5" customHeight="1" thickBot="1" x14ac:dyDescent="0.3">
      <c r="A21" s="247"/>
      <c r="B21" s="94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248" t="s">
        <v>34</v>
      </c>
      <c r="B22" s="249"/>
      <c r="C22" s="250"/>
      <c r="D22" s="237" t="str">
        <f>'SET SP Sta.Mría'!$G18</f>
        <v>Entre 0 y 10%</v>
      </c>
      <c r="E22" s="238"/>
      <c r="F22" s="238"/>
      <c r="G22" s="239"/>
      <c r="H22" s="237" t="str">
        <f>'SET SP Sta.Mría'!$H18</f>
        <v>Entre 11% y el 20%</v>
      </c>
      <c r="I22" s="238"/>
      <c r="J22" s="238"/>
      <c r="K22" s="239"/>
      <c r="L22" s="237" t="str">
        <f>'SET SP Sta.Mría'!$I18</f>
        <v>Mayor al 21%</v>
      </c>
      <c r="M22" s="242"/>
      <c r="N22" s="242"/>
      <c r="O22" s="243"/>
      <c r="V22" s="9"/>
      <c r="W22" s="10"/>
      <c r="X22" s="10"/>
    </row>
    <row r="23" spans="1:24" ht="33" customHeight="1" thickBot="1" x14ac:dyDescent="0.3">
      <c r="A23" s="251"/>
      <c r="B23" s="252"/>
      <c r="C23" s="252"/>
      <c r="D23" s="253" t="s">
        <v>7</v>
      </c>
      <c r="E23" s="253"/>
      <c r="F23" s="253"/>
      <c r="G23" s="253"/>
      <c r="H23" s="254" t="s">
        <v>61</v>
      </c>
      <c r="I23" s="254"/>
      <c r="J23" s="254"/>
      <c r="K23" s="254"/>
      <c r="L23" s="215" t="s">
        <v>62</v>
      </c>
      <c r="M23" s="215"/>
      <c r="N23" s="215"/>
      <c r="O23" s="216"/>
      <c r="V23" s="9"/>
      <c r="W23" s="10"/>
      <c r="X23" s="10"/>
    </row>
    <row r="24" spans="1:24" ht="15.75" customHeight="1" thickBot="1" x14ac:dyDescent="0.3">
      <c r="A24" s="217" t="s">
        <v>36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9"/>
      <c r="V24" s="9"/>
      <c r="W24" s="10"/>
      <c r="X24" s="10"/>
    </row>
    <row r="25" spans="1:24" ht="264.75" customHeight="1" thickBot="1" x14ac:dyDescent="0.3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6"/>
      <c r="V25" s="9"/>
    </row>
    <row r="26" spans="1:24" ht="15" customHeight="1" x14ac:dyDescent="0.25">
      <c r="A26" s="206" t="s">
        <v>58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8" t="s">
        <v>60</v>
      </c>
      <c r="O26" s="209"/>
    </row>
    <row r="27" spans="1:24" ht="15" customHeight="1" x14ac:dyDescent="0.25">
      <c r="A27" s="167" t="s">
        <v>301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9">
        <v>43101</v>
      </c>
      <c r="O27" s="170"/>
    </row>
    <row r="28" spans="1:24" ht="15" customHeight="1" x14ac:dyDescent="0.25">
      <c r="A28" s="167" t="s">
        <v>301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9">
        <v>43132</v>
      </c>
      <c r="O28" s="170"/>
    </row>
    <row r="29" spans="1:24" ht="15" customHeight="1" x14ac:dyDescent="0.25">
      <c r="A29" s="167" t="s">
        <v>301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9">
        <v>43160</v>
      </c>
      <c r="O29" s="170"/>
    </row>
    <row r="30" spans="1:24" ht="15" customHeight="1" x14ac:dyDescent="0.25">
      <c r="A30" s="167" t="s">
        <v>301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9">
        <v>43191</v>
      </c>
      <c r="O30" s="170"/>
    </row>
    <row r="31" spans="1:24" ht="15" customHeight="1" x14ac:dyDescent="0.25">
      <c r="A31" s="167" t="s">
        <v>301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9">
        <v>43221</v>
      </c>
      <c r="O31" s="170"/>
    </row>
    <row r="32" spans="1:24" ht="15" customHeight="1" x14ac:dyDescent="0.25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9">
        <v>43252</v>
      </c>
      <c r="O32" s="170"/>
    </row>
    <row r="33" spans="1:17" ht="15" customHeight="1" x14ac:dyDescent="0.25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9">
        <v>43282</v>
      </c>
      <c r="O33" s="170"/>
    </row>
    <row r="34" spans="1:17" ht="15" customHeight="1" x14ac:dyDescent="0.25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9">
        <v>43313</v>
      </c>
      <c r="O34" s="170"/>
    </row>
    <row r="35" spans="1:17" ht="15" customHeight="1" x14ac:dyDescent="0.25">
      <c r="A35" s="167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9">
        <v>43344</v>
      </c>
      <c r="O35" s="170"/>
    </row>
    <row r="36" spans="1:17" ht="15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9">
        <v>43374</v>
      </c>
      <c r="O36" s="170"/>
    </row>
    <row r="37" spans="1:17" ht="15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9">
        <v>43405</v>
      </c>
      <c r="O37" s="170"/>
    </row>
    <row r="38" spans="1:17" ht="15" customHeight="1" thickBot="1" x14ac:dyDescent="0.3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9">
        <v>43435</v>
      </c>
      <c r="O38" s="170"/>
    </row>
    <row r="39" spans="1:17" ht="19.5" customHeight="1" x14ac:dyDescent="0.25">
      <c r="A39" s="206" t="s">
        <v>59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8" t="s">
        <v>60</v>
      </c>
      <c r="O39" s="209"/>
    </row>
    <row r="40" spans="1:17" ht="15" x14ac:dyDescent="0.25">
      <c r="A40" s="167" t="s">
        <v>3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272" t="s">
        <v>3</v>
      </c>
      <c r="O40" s="273"/>
    </row>
    <row r="41" spans="1:17" ht="15.75" thickBot="1" x14ac:dyDescent="0.3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8"/>
      <c r="O41" s="274"/>
    </row>
    <row r="42" spans="1:17" ht="5.25" customHeight="1" x14ac:dyDescent="0.25">
      <c r="A42" s="255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</row>
    <row r="44" spans="1:17" ht="14.25" x14ac:dyDescent="0.2">
      <c r="Q44" s="49" t="s">
        <v>81</v>
      </c>
    </row>
    <row r="45" spans="1:17" ht="14.25" x14ac:dyDescent="0.2">
      <c r="Q45" s="49" t="s">
        <v>82</v>
      </c>
    </row>
    <row r="46" spans="1:17" ht="14.25" x14ac:dyDescent="0.2">
      <c r="Q46" s="49" t="s">
        <v>83</v>
      </c>
    </row>
    <row r="47" spans="1:17" ht="14.25" x14ac:dyDescent="0.2">
      <c r="Q47" s="49" t="s">
        <v>84</v>
      </c>
    </row>
    <row r="48" spans="1:17" ht="14.25" x14ac:dyDescent="0.2">
      <c r="Q48" s="49" t="s">
        <v>85</v>
      </c>
    </row>
    <row r="49" spans="17:17" ht="14.25" x14ac:dyDescent="0.2">
      <c r="Q49" s="49" t="s">
        <v>86</v>
      </c>
    </row>
    <row r="50" spans="17:17" ht="14.25" x14ac:dyDescent="0.2">
      <c r="Q50" s="49" t="s">
        <v>87</v>
      </c>
    </row>
    <row r="51" spans="17:17" ht="14.25" x14ac:dyDescent="0.2">
      <c r="Q51" s="49" t="s">
        <v>88</v>
      </c>
    </row>
    <row r="52" spans="17:17" ht="14.25" x14ac:dyDescent="0.2">
      <c r="Q52" s="49" t="s">
        <v>89</v>
      </c>
    </row>
    <row r="53" spans="17:17" ht="14.25" x14ac:dyDescent="0.2">
      <c r="Q53" s="49" t="s">
        <v>90</v>
      </c>
    </row>
    <row r="54" spans="17:17" ht="14.25" x14ac:dyDescent="0.2">
      <c r="Q54" s="49" t="s">
        <v>91</v>
      </c>
    </row>
    <row r="55" spans="17:17" ht="14.25" x14ac:dyDescent="0.2">
      <c r="Q55" s="49" t="s">
        <v>92</v>
      </c>
    </row>
    <row r="56" spans="17:17" ht="14.25" x14ac:dyDescent="0.2">
      <c r="Q56" s="49" t="s">
        <v>93</v>
      </c>
    </row>
    <row r="58" spans="17:17" x14ac:dyDescent="0.25">
      <c r="Q58" s="61" t="s">
        <v>175</v>
      </c>
    </row>
    <row r="59" spans="17:17" x14ac:dyDescent="0.25">
      <c r="Q59" s="61" t="s">
        <v>171</v>
      </c>
    </row>
  </sheetData>
  <mergeCells count="74">
    <mergeCell ref="A4:E4"/>
    <mergeCell ref="F4:O4"/>
    <mergeCell ref="A1:C2"/>
    <mergeCell ref="D1:O1"/>
    <mergeCell ref="D2:O2"/>
    <mergeCell ref="A3:E3"/>
    <mergeCell ref="F3:O3"/>
    <mergeCell ref="A5:E5"/>
    <mergeCell ref="F5:O5"/>
    <mergeCell ref="A6:E6"/>
    <mergeCell ref="G6:O6"/>
    <mergeCell ref="A7:D8"/>
    <mergeCell ref="E7:E8"/>
    <mergeCell ref="F7:G8"/>
    <mergeCell ref="H7:H8"/>
    <mergeCell ref="I7:I8"/>
    <mergeCell ref="J7:K8"/>
    <mergeCell ref="A15:B15"/>
    <mergeCell ref="L7:O7"/>
    <mergeCell ref="L8:M8"/>
    <mergeCell ref="N8:O8"/>
    <mergeCell ref="A9:D9"/>
    <mergeCell ref="F9:G9"/>
    <mergeCell ref="J9:O9"/>
    <mergeCell ref="A10:O10"/>
    <mergeCell ref="A11:O11"/>
    <mergeCell ref="A12:O12"/>
    <mergeCell ref="A13:O13"/>
    <mergeCell ref="A14:B14"/>
    <mergeCell ref="A25:O25"/>
    <mergeCell ref="A16:B16"/>
    <mergeCell ref="A17:B17"/>
    <mergeCell ref="A18:A21"/>
    <mergeCell ref="A22:C23"/>
    <mergeCell ref="D22:G22"/>
    <mergeCell ref="H22:K22"/>
    <mergeCell ref="L22:O22"/>
    <mergeCell ref="D23:G23"/>
    <mergeCell ref="H23:K23"/>
    <mergeCell ref="L23:O23"/>
    <mergeCell ref="A24:O24"/>
    <mergeCell ref="A29:M29"/>
    <mergeCell ref="N29:O29"/>
    <mergeCell ref="A30:M30"/>
    <mergeCell ref="N30:O30"/>
    <mergeCell ref="A31:M31"/>
    <mergeCell ref="N31:O31"/>
    <mergeCell ref="A26:M26"/>
    <mergeCell ref="N26:O26"/>
    <mergeCell ref="A27:M27"/>
    <mergeCell ref="N27:O27"/>
    <mergeCell ref="A28:M28"/>
    <mergeCell ref="N28:O28"/>
    <mergeCell ref="A42:O42"/>
    <mergeCell ref="A39:M39"/>
    <mergeCell ref="N39:O39"/>
    <mergeCell ref="A40:M40"/>
    <mergeCell ref="N40:O40"/>
    <mergeCell ref="A41:M41"/>
    <mergeCell ref="N41:O41"/>
    <mergeCell ref="A32:M32"/>
    <mergeCell ref="N32:O32"/>
    <mergeCell ref="A33:M33"/>
    <mergeCell ref="N33:O33"/>
    <mergeCell ref="A34:M34"/>
    <mergeCell ref="N34:O34"/>
    <mergeCell ref="A38:M38"/>
    <mergeCell ref="N38:O38"/>
    <mergeCell ref="A35:M35"/>
    <mergeCell ref="N35:O35"/>
    <mergeCell ref="A36:M36"/>
    <mergeCell ref="N36:O36"/>
    <mergeCell ref="A37:M37"/>
    <mergeCell ref="N37:O37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9"/>
  <sheetViews>
    <sheetView topLeftCell="A25" zoomScaleSheetLayoutView="72" workbookViewId="0">
      <selection activeCell="A27" sqref="A27:M27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8.140625" style="3" customWidth="1"/>
    <col min="17" max="18" width="8.140625" style="3" hidden="1" customWidth="1"/>
    <col min="19" max="19" width="8.14062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75"/>
      <c r="B1" s="176"/>
      <c r="C1" s="177"/>
      <c r="D1" s="171" t="s">
        <v>20</v>
      </c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2"/>
    </row>
    <row r="2" spans="1:24" ht="15.75" customHeight="1" thickBot="1" x14ac:dyDescent="0.3">
      <c r="A2" s="178"/>
      <c r="B2" s="179"/>
      <c r="C2" s="180"/>
      <c r="D2" s="173" t="s">
        <v>67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4"/>
    </row>
    <row r="3" spans="1:24" ht="13.5" customHeight="1" x14ac:dyDescent="0.25">
      <c r="A3" s="181" t="s">
        <v>0</v>
      </c>
      <c r="B3" s="182"/>
      <c r="C3" s="182"/>
      <c r="D3" s="182"/>
      <c r="E3" s="182"/>
      <c r="F3" s="182" t="str">
        <f>'SET SP Sta.Mría'!J3</f>
        <v>GESTIÓN DE SERVICIOS PÚBLICOS - SANTA MARÍA</v>
      </c>
      <c r="G3" s="182"/>
      <c r="H3" s="182"/>
      <c r="I3" s="182"/>
      <c r="J3" s="182"/>
      <c r="K3" s="182"/>
      <c r="L3" s="182"/>
      <c r="M3" s="182"/>
      <c r="N3" s="182"/>
      <c r="O3" s="183"/>
    </row>
    <row r="4" spans="1:24" ht="15.75" customHeight="1" x14ac:dyDescent="0.25">
      <c r="A4" s="184" t="s">
        <v>1</v>
      </c>
      <c r="B4" s="185"/>
      <c r="C4" s="185"/>
      <c r="D4" s="185"/>
      <c r="E4" s="185"/>
      <c r="F4" s="186" t="str">
        <f>'SET SP Sta.Mría'!$B19</f>
        <v>Disposición en Relleno Sanitario</v>
      </c>
      <c r="G4" s="186"/>
      <c r="H4" s="186"/>
      <c r="I4" s="186"/>
      <c r="J4" s="186"/>
      <c r="K4" s="186"/>
      <c r="L4" s="186"/>
      <c r="M4" s="186"/>
      <c r="N4" s="186"/>
      <c r="O4" s="256"/>
    </row>
    <row r="5" spans="1:24" ht="15.75" customHeight="1" x14ac:dyDescent="0.25">
      <c r="A5" s="184" t="s">
        <v>55</v>
      </c>
      <c r="B5" s="185"/>
      <c r="C5" s="185"/>
      <c r="D5" s="185"/>
      <c r="E5" s="185"/>
      <c r="F5" s="203" t="str">
        <f>'SET SP Sta.Mría'!F19</f>
        <v xml:space="preserve">Eficiencia </v>
      </c>
      <c r="G5" s="204"/>
      <c r="H5" s="204"/>
      <c r="I5" s="204"/>
      <c r="J5" s="204"/>
      <c r="K5" s="204"/>
      <c r="L5" s="204"/>
      <c r="M5" s="204"/>
      <c r="N5" s="204"/>
      <c r="O5" s="205"/>
    </row>
    <row r="6" spans="1:24" ht="17.25" customHeight="1" thickBot="1" x14ac:dyDescent="0.3">
      <c r="A6" s="189" t="s">
        <v>21</v>
      </c>
      <c r="B6" s="190"/>
      <c r="C6" s="190"/>
      <c r="D6" s="190"/>
      <c r="E6" s="190"/>
      <c r="F6" s="26" t="s">
        <v>94</v>
      </c>
      <c r="G6" s="191" t="str">
        <f>'SET SP Sta.Mría'!A19</f>
        <v>IN14</v>
      </c>
      <c r="H6" s="191"/>
      <c r="I6" s="191"/>
      <c r="J6" s="191"/>
      <c r="K6" s="191"/>
      <c r="L6" s="191"/>
      <c r="M6" s="191"/>
      <c r="N6" s="191"/>
      <c r="O6" s="260"/>
    </row>
    <row r="7" spans="1:24" ht="12.75" customHeight="1" x14ac:dyDescent="0.25">
      <c r="A7" s="194" t="s">
        <v>22</v>
      </c>
      <c r="B7" s="195"/>
      <c r="C7" s="195"/>
      <c r="D7" s="195"/>
      <c r="E7" s="198" t="s">
        <v>23</v>
      </c>
      <c r="F7" s="198" t="s">
        <v>24</v>
      </c>
      <c r="G7" s="198"/>
      <c r="H7" s="198" t="s">
        <v>25</v>
      </c>
      <c r="I7" s="198" t="s">
        <v>26</v>
      </c>
      <c r="J7" s="198" t="s">
        <v>27</v>
      </c>
      <c r="K7" s="198"/>
      <c r="L7" s="200" t="s">
        <v>28</v>
      </c>
      <c r="M7" s="200"/>
      <c r="N7" s="200"/>
      <c r="O7" s="201"/>
    </row>
    <row r="8" spans="1:24" ht="46.5" customHeight="1" x14ac:dyDescent="0.25">
      <c r="A8" s="196"/>
      <c r="B8" s="197"/>
      <c r="C8" s="197"/>
      <c r="D8" s="197"/>
      <c r="E8" s="199"/>
      <c r="F8" s="199"/>
      <c r="G8" s="199"/>
      <c r="H8" s="199"/>
      <c r="I8" s="199"/>
      <c r="J8" s="199"/>
      <c r="K8" s="199"/>
      <c r="L8" s="197" t="s">
        <v>29</v>
      </c>
      <c r="M8" s="197"/>
      <c r="N8" s="197" t="s">
        <v>30</v>
      </c>
      <c r="O8" s="202"/>
    </row>
    <row r="9" spans="1:24" ht="57.75" customHeight="1" thickBot="1" x14ac:dyDescent="0.3">
      <c r="A9" s="210" t="str">
        <f>'SET SP Sta.Mría'!$C19</f>
        <v>Disponer la totalidad de los residuos solidos recolectados en el sitio de disposición final.</v>
      </c>
      <c r="B9" s="211"/>
      <c r="C9" s="211"/>
      <c r="D9" s="211"/>
      <c r="E9" s="17" t="s">
        <v>35</v>
      </c>
      <c r="F9" s="280" t="str">
        <f>'SET SP Sta.Mría'!$D19</f>
        <v>(Residuos sólidos en relleno sanitario / Residuos sólidos producidos)     x 100    %</v>
      </c>
      <c r="G9" s="286"/>
      <c r="H9" s="14">
        <f>$O16</f>
        <v>1</v>
      </c>
      <c r="I9" s="37" t="str">
        <f>'SET SP Sta.Mría'!$E19</f>
        <v>Trimestral</v>
      </c>
      <c r="J9" s="212" t="s">
        <v>89</v>
      </c>
      <c r="K9" s="213"/>
      <c r="L9" s="213"/>
      <c r="M9" s="213"/>
      <c r="N9" s="213"/>
      <c r="O9" s="214"/>
    </row>
    <row r="10" spans="1:24" ht="13.5" customHeight="1" x14ac:dyDescent="0.25">
      <c r="A10" s="220" t="s">
        <v>38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2"/>
    </row>
    <row r="11" spans="1:24" ht="21.75" customHeight="1" thickBot="1" x14ac:dyDescent="0.3">
      <c r="A11" s="223"/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5"/>
    </row>
    <row r="12" spans="1:24" ht="15" customHeight="1" thickBot="1" x14ac:dyDescent="0.3">
      <c r="A12" s="269" t="s">
        <v>31</v>
      </c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1"/>
      <c r="V12" s="9"/>
      <c r="W12" s="38"/>
      <c r="X12" s="38"/>
    </row>
    <row r="13" spans="1:24" ht="16.5" customHeight="1" x14ac:dyDescent="0.25">
      <c r="A13" s="229" t="s">
        <v>273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1"/>
      <c r="V13" s="9"/>
      <c r="W13" s="10"/>
      <c r="X13" s="10"/>
    </row>
    <row r="14" spans="1:24" ht="16.5" customHeight="1" x14ac:dyDescent="0.25">
      <c r="A14" s="232" t="s">
        <v>32</v>
      </c>
      <c r="B14" s="233"/>
      <c r="C14" s="93" t="s">
        <v>8</v>
      </c>
      <c r="D14" s="93" t="s">
        <v>9</v>
      </c>
      <c r="E14" s="93" t="s">
        <v>10</v>
      </c>
      <c r="F14" s="93" t="s">
        <v>11</v>
      </c>
      <c r="G14" s="93" t="s">
        <v>12</v>
      </c>
      <c r="H14" s="93" t="s">
        <v>13</v>
      </c>
      <c r="I14" s="93" t="s">
        <v>14</v>
      </c>
      <c r="J14" s="93" t="s">
        <v>15</v>
      </c>
      <c r="K14" s="93" t="s">
        <v>16</v>
      </c>
      <c r="L14" s="93" t="s">
        <v>17</v>
      </c>
      <c r="M14" s="93" t="s">
        <v>18</v>
      </c>
      <c r="N14" s="93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40" t="s">
        <v>39</v>
      </c>
      <c r="B15" s="241"/>
      <c r="C15" s="124">
        <f t="shared" ref="C15:N15" si="0">$O$15</f>
        <v>0.98</v>
      </c>
      <c r="D15" s="124">
        <f t="shared" si="0"/>
        <v>0.98</v>
      </c>
      <c r="E15" s="124">
        <f t="shared" si="0"/>
        <v>0.98</v>
      </c>
      <c r="F15" s="124">
        <f t="shared" si="0"/>
        <v>0.98</v>
      </c>
      <c r="G15" s="124">
        <f t="shared" si="0"/>
        <v>0.98</v>
      </c>
      <c r="H15" s="124">
        <f t="shared" si="0"/>
        <v>0.98</v>
      </c>
      <c r="I15" s="124">
        <f t="shared" si="0"/>
        <v>0.98</v>
      </c>
      <c r="J15" s="124">
        <f t="shared" si="0"/>
        <v>0.98</v>
      </c>
      <c r="K15" s="124">
        <f t="shared" si="0"/>
        <v>0.98</v>
      </c>
      <c r="L15" s="124">
        <f t="shared" si="0"/>
        <v>0.98</v>
      </c>
      <c r="M15" s="124">
        <f t="shared" si="0"/>
        <v>0.98</v>
      </c>
      <c r="N15" s="124">
        <f t="shared" si="0"/>
        <v>0.98</v>
      </c>
      <c r="O15" s="130">
        <f>'SET SP Sta.Mría'!J19</f>
        <v>0.98</v>
      </c>
      <c r="V15" s="9"/>
      <c r="W15" s="10"/>
      <c r="X15" s="10"/>
    </row>
    <row r="16" spans="1:24" ht="17.25" customHeight="1" x14ac:dyDescent="0.25">
      <c r="A16" s="240" t="s">
        <v>272</v>
      </c>
      <c r="B16" s="241"/>
      <c r="C16" s="124">
        <f t="shared" ref="C16:N16" si="1">$O$16</f>
        <v>1</v>
      </c>
      <c r="D16" s="124">
        <f t="shared" si="1"/>
        <v>1</v>
      </c>
      <c r="E16" s="124">
        <f t="shared" si="1"/>
        <v>1</v>
      </c>
      <c r="F16" s="124">
        <f t="shared" si="1"/>
        <v>1</v>
      </c>
      <c r="G16" s="124">
        <f t="shared" si="1"/>
        <v>1</v>
      </c>
      <c r="H16" s="124">
        <f t="shared" si="1"/>
        <v>1</v>
      </c>
      <c r="I16" s="124">
        <f t="shared" si="1"/>
        <v>1</v>
      </c>
      <c r="J16" s="124">
        <f t="shared" si="1"/>
        <v>1</v>
      </c>
      <c r="K16" s="124">
        <f t="shared" si="1"/>
        <v>1</v>
      </c>
      <c r="L16" s="124">
        <f t="shared" si="1"/>
        <v>1</v>
      </c>
      <c r="M16" s="124">
        <f t="shared" si="1"/>
        <v>1</v>
      </c>
      <c r="N16" s="124">
        <f t="shared" si="1"/>
        <v>1</v>
      </c>
      <c r="O16" s="130">
        <f>'SET SP Sta.Mría'!K19</f>
        <v>1</v>
      </c>
      <c r="V16" s="9"/>
      <c r="W16" s="10"/>
      <c r="X16" s="10"/>
    </row>
    <row r="17" spans="1:24" ht="17.25" customHeight="1" x14ac:dyDescent="0.25">
      <c r="A17" s="244" t="s">
        <v>264</v>
      </c>
      <c r="B17" s="245"/>
      <c r="C17" s="12" t="e">
        <f>IF(ISNUMBER(C19),C18/C19,"-")</f>
        <v>#DIV/0!</v>
      </c>
      <c r="D17" s="12" t="e">
        <f t="shared" ref="D17:O17" si="2">IF(ISNUMBER(D19),D18/D19,"-")</f>
        <v>#DIV/0!</v>
      </c>
      <c r="E17" s="12" t="e">
        <f t="shared" si="2"/>
        <v>#DIV/0!</v>
      </c>
      <c r="F17" s="12" t="e">
        <f t="shared" si="2"/>
        <v>#DIV/0!</v>
      </c>
      <c r="G17" s="12" t="e">
        <f t="shared" si="2"/>
        <v>#DIV/0!</v>
      </c>
      <c r="H17" s="12" t="e">
        <f t="shared" si="2"/>
        <v>#DIV/0!</v>
      </c>
      <c r="I17" s="12" t="e">
        <f t="shared" si="2"/>
        <v>#DIV/0!</v>
      </c>
      <c r="J17" s="12" t="e">
        <f t="shared" si="2"/>
        <v>#DIV/0!</v>
      </c>
      <c r="K17" s="12" t="e">
        <f t="shared" si="2"/>
        <v>#DIV/0!</v>
      </c>
      <c r="L17" s="12" t="e">
        <f t="shared" si="2"/>
        <v>#DIV/0!</v>
      </c>
      <c r="M17" s="12" t="e">
        <f t="shared" si="2"/>
        <v>#DIV/0!</v>
      </c>
      <c r="N17" s="12" t="e">
        <f t="shared" si="2"/>
        <v>#DIV/0!</v>
      </c>
      <c r="O17" s="13" t="e">
        <f t="shared" si="2"/>
        <v>#DIV/0!</v>
      </c>
      <c r="V17" s="9"/>
      <c r="W17" s="10"/>
      <c r="X17" s="10"/>
    </row>
    <row r="18" spans="1:24" ht="15" customHeight="1" x14ac:dyDescent="0.25">
      <c r="A18" s="246" t="s">
        <v>37</v>
      </c>
      <c r="B18" s="40" t="s">
        <v>145</v>
      </c>
      <c r="C18" s="4">
        <f>+C19</f>
        <v>0</v>
      </c>
      <c r="D18" s="4">
        <f t="shared" ref="D18:N18" si="3">+D19</f>
        <v>0</v>
      </c>
      <c r="E18" s="4">
        <f t="shared" si="3"/>
        <v>0</v>
      </c>
      <c r="F18" s="4">
        <f t="shared" si="3"/>
        <v>0</v>
      </c>
      <c r="G18" s="4">
        <f t="shared" si="3"/>
        <v>0</v>
      </c>
      <c r="H18" s="4">
        <f t="shared" si="3"/>
        <v>0</v>
      </c>
      <c r="I18" s="4">
        <f t="shared" si="3"/>
        <v>0</v>
      </c>
      <c r="J18" s="4">
        <f t="shared" si="3"/>
        <v>0</v>
      </c>
      <c r="K18" s="4">
        <f t="shared" si="3"/>
        <v>0</v>
      </c>
      <c r="L18" s="4">
        <f t="shared" si="3"/>
        <v>0</v>
      </c>
      <c r="M18" s="4">
        <f t="shared" si="3"/>
        <v>0</v>
      </c>
      <c r="N18" s="4">
        <f t="shared" si="3"/>
        <v>0</v>
      </c>
      <c r="O18" s="19">
        <f>SUM(C18:N18)</f>
        <v>0</v>
      </c>
      <c r="V18" s="9"/>
      <c r="W18" s="10"/>
      <c r="X18" s="10"/>
    </row>
    <row r="19" spans="1:24" ht="12.75" customHeight="1" x14ac:dyDescent="0.25">
      <c r="A19" s="246"/>
      <c r="B19" s="40" t="s">
        <v>139</v>
      </c>
      <c r="C19" s="4">
        <f>+'07'!C19</f>
        <v>0</v>
      </c>
      <c r="D19" s="4">
        <f>+'07'!D19</f>
        <v>0</v>
      </c>
      <c r="E19" s="4">
        <f>+'07'!E19</f>
        <v>0</v>
      </c>
      <c r="F19" s="4">
        <f>+'07'!F19</f>
        <v>0</v>
      </c>
      <c r="G19" s="4">
        <f>+'07'!G19</f>
        <v>0</v>
      </c>
      <c r="H19" s="4">
        <f>+'07'!H19</f>
        <v>0</v>
      </c>
      <c r="I19" s="4">
        <f>+'07'!I19</f>
        <v>0</v>
      </c>
      <c r="J19" s="4">
        <f>+'07'!J19</f>
        <v>0</v>
      </c>
      <c r="K19" s="4">
        <f>+'07'!K19</f>
        <v>0</v>
      </c>
      <c r="L19" s="4">
        <f>+'07'!L19</f>
        <v>0</v>
      </c>
      <c r="M19" s="4">
        <f>+'07'!M19</f>
        <v>0</v>
      </c>
      <c r="N19" s="4">
        <f>+'07'!N19</f>
        <v>0</v>
      </c>
      <c r="O19" s="19">
        <f>SUM(C19:N19)</f>
        <v>0</v>
      </c>
      <c r="V19" s="9"/>
      <c r="W19" s="10"/>
      <c r="X19" s="10"/>
    </row>
    <row r="20" spans="1:24" ht="12.75" customHeight="1" x14ac:dyDescent="0.25">
      <c r="A20" s="246"/>
      <c r="B20" s="9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3.5" customHeight="1" thickBot="1" x14ac:dyDescent="0.3">
      <c r="A21" s="247"/>
      <c r="B21" s="94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248" t="s">
        <v>34</v>
      </c>
      <c r="B22" s="249"/>
      <c r="C22" s="250"/>
      <c r="D22" s="237" t="str">
        <f>'SET SP Sta.Mría'!$G19</f>
        <v>Entre 91% y 100%</v>
      </c>
      <c r="E22" s="238"/>
      <c r="F22" s="238"/>
      <c r="G22" s="239"/>
      <c r="H22" s="237" t="str">
        <f>'SET SP Sta.Mría'!$H19</f>
        <v>Entre 71% y 90%</v>
      </c>
      <c r="I22" s="238"/>
      <c r="J22" s="238"/>
      <c r="K22" s="239"/>
      <c r="L22" s="237" t="str">
        <f>'SET SP Sta.Mría'!$I19</f>
        <v>Menor al 70%</v>
      </c>
      <c r="M22" s="242"/>
      <c r="N22" s="242"/>
      <c r="O22" s="243"/>
      <c r="V22" s="9"/>
      <c r="W22" s="10"/>
      <c r="X22" s="10"/>
    </row>
    <row r="23" spans="1:24" ht="33" customHeight="1" thickBot="1" x14ac:dyDescent="0.3">
      <c r="A23" s="251"/>
      <c r="B23" s="252"/>
      <c r="C23" s="252"/>
      <c r="D23" s="253" t="s">
        <v>7</v>
      </c>
      <c r="E23" s="253"/>
      <c r="F23" s="253"/>
      <c r="G23" s="253"/>
      <c r="H23" s="254" t="s">
        <v>61</v>
      </c>
      <c r="I23" s="254"/>
      <c r="J23" s="254"/>
      <c r="K23" s="254"/>
      <c r="L23" s="215" t="s">
        <v>62</v>
      </c>
      <c r="M23" s="215"/>
      <c r="N23" s="215"/>
      <c r="O23" s="216"/>
      <c r="V23" s="9"/>
      <c r="W23" s="10"/>
      <c r="X23" s="10"/>
    </row>
    <row r="24" spans="1:24" ht="15.75" customHeight="1" thickBot="1" x14ac:dyDescent="0.3">
      <c r="A24" s="217" t="s">
        <v>36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9"/>
      <c r="V24" s="9"/>
      <c r="W24" s="10"/>
      <c r="X24" s="10"/>
    </row>
    <row r="25" spans="1:24" ht="264.75" customHeight="1" thickBot="1" x14ac:dyDescent="0.3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6"/>
      <c r="V25" s="9"/>
    </row>
    <row r="26" spans="1:24" ht="15" customHeight="1" x14ac:dyDescent="0.25">
      <c r="A26" s="206" t="s">
        <v>58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8" t="s">
        <v>60</v>
      </c>
      <c r="O26" s="209"/>
    </row>
    <row r="27" spans="1:24" ht="15" customHeight="1" x14ac:dyDescent="0.25">
      <c r="A27" s="167" t="s">
        <v>302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9">
        <v>43101</v>
      </c>
      <c r="O27" s="170"/>
    </row>
    <row r="28" spans="1:24" ht="15" customHeight="1" x14ac:dyDescent="0.25">
      <c r="A28" s="167"/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9">
        <v>43132</v>
      </c>
      <c r="O28" s="170"/>
    </row>
    <row r="29" spans="1:24" ht="15" customHeight="1" x14ac:dyDescent="0.25">
      <c r="A29" s="167"/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9">
        <v>43160</v>
      </c>
      <c r="O29" s="170"/>
    </row>
    <row r="30" spans="1:24" ht="15" customHeight="1" x14ac:dyDescent="0.25">
      <c r="A30" s="167"/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9">
        <v>43191</v>
      </c>
      <c r="O30" s="170"/>
    </row>
    <row r="31" spans="1:24" ht="15" customHeight="1" x14ac:dyDescent="0.25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9">
        <v>43221</v>
      </c>
      <c r="O31" s="170"/>
    </row>
    <row r="32" spans="1:24" ht="15" customHeight="1" x14ac:dyDescent="0.25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9">
        <v>43252</v>
      </c>
      <c r="O32" s="170"/>
    </row>
    <row r="33" spans="1:17" ht="15" customHeight="1" x14ac:dyDescent="0.25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9">
        <v>43282</v>
      </c>
      <c r="O33" s="170"/>
    </row>
    <row r="34" spans="1:17" ht="15" customHeight="1" x14ac:dyDescent="0.25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9">
        <v>43313</v>
      </c>
      <c r="O34" s="170"/>
    </row>
    <row r="35" spans="1:17" ht="15" customHeight="1" x14ac:dyDescent="0.25">
      <c r="A35" s="167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9">
        <v>43344</v>
      </c>
      <c r="O35" s="170"/>
    </row>
    <row r="36" spans="1:17" ht="15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9">
        <v>43374</v>
      </c>
      <c r="O36" s="170"/>
    </row>
    <row r="37" spans="1:17" ht="15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9">
        <v>43405</v>
      </c>
      <c r="O37" s="170"/>
    </row>
    <row r="38" spans="1:17" ht="15" customHeight="1" thickBot="1" x14ac:dyDescent="0.3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9">
        <v>43435</v>
      </c>
      <c r="O38" s="170"/>
    </row>
    <row r="39" spans="1:17" ht="19.5" customHeight="1" x14ac:dyDescent="0.25">
      <c r="A39" s="206" t="s">
        <v>59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8" t="s">
        <v>60</v>
      </c>
      <c r="O39" s="209"/>
    </row>
    <row r="40" spans="1:17" ht="15" x14ac:dyDescent="0.25">
      <c r="A40" s="167" t="s">
        <v>3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272" t="s">
        <v>3</v>
      </c>
      <c r="O40" s="273"/>
    </row>
    <row r="41" spans="1:17" ht="15.75" thickBot="1" x14ac:dyDescent="0.3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8"/>
      <c r="O41" s="274"/>
    </row>
    <row r="42" spans="1:17" ht="5.25" customHeight="1" x14ac:dyDescent="0.25">
      <c r="A42" s="255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</row>
    <row r="44" spans="1:17" ht="14.25" x14ac:dyDescent="0.2">
      <c r="Q44" s="49" t="s">
        <v>81</v>
      </c>
    </row>
    <row r="45" spans="1:17" ht="14.25" x14ac:dyDescent="0.2">
      <c r="Q45" s="49" t="s">
        <v>82</v>
      </c>
    </row>
    <row r="46" spans="1:17" ht="14.25" x14ac:dyDescent="0.2">
      <c r="Q46" s="49" t="s">
        <v>83</v>
      </c>
    </row>
    <row r="47" spans="1:17" ht="14.25" x14ac:dyDescent="0.2">
      <c r="Q47" s="49" t="s">
        <v>84</v>
      </c>
    </row>
    <row r="48" spans="1:17" ht="14.25" x14ac:dyDescent="0.2">
      <c r="Q48" s="49" t="s">
        <v>85</v>
      </c>
    </row>
    <row r="49" spans="17:17" ht="14.25" x14ac:dyDescent="0.2">
      <c r="Q49" s="49" t="s">
        <v>86</v>
      </c>
    </row>
    <row r="50" spans="17:17" ht="14.25" x14ac:dyDescent="0.2">
      <c r="Q50" s="49" t="s">
        <v>87</v>
      </c>
    </row>
    <row r="51" spans="17:17" ht="14.25" x14ac:dyDescent="0.2">
      <c r="Q51" s="49" t="s">
        <v>88</v>
      </c>
    </row>
    <row r="52" spans="17:17" ht="14.25" x14ac:dyDescent="0.2">
      <c r="Q52" s="49" t="s">
        <v>89</v>
      </c>
    </row>
    <row r="53" spans="17:17" ht="14.25" x14ac:dyDescent="0.2">
      <c r="Q53" s="49" t="s">
        <v>90</v>
      </c>
    </row>
    <row r="54" spans="17:17" ht="14.25" x14ac:dyDescent="0.2">
      <c r="Q54" s="49" t="s">
        <v>91</v>
      </c>
    </row>
    <row r="55" spans="17:17" ht="14.25" x14ac:dyDescent="0.2">
      <c r="Q55" s="49" t="s">
        <v>92</v>
      </c>
    </row>
    <row r="56" spans="17:17" ht="14.25" x14ac:dyDescent="0.2">
      <c r="Q56" s="49" t="s">
        <v>93</v>
      </c>
    </row>
    <row r="58" spans="17:17" x14ac:dyDescent="0.25">
      <c r="Q58" s="11">
        <v>0.98</v>
      </c>
    </row>
    <row r="59" spans="17:17" x14ac:dyDescent="0.25">
      <c r="Q59" s="11">
        <v>1</v>
      </c>
    </row>
  </sheetData>
  <mergeCells count="74">
    <mergeCell ref="A4:E4"/>
    <mergeCell ref="F4:O4"/>
    <mergeCell ref="A1:C2"/>
    <mergeCell ref="D1:O1"/>
    <mergeCell ref="D2:O2"/>
    <mergeCell ref="A3:E3"/>
    <mergeCell ref="F3:O3"/>
    <mergeCell ref="A5:E5"/>
    <mergeCell ref="F5:O5"/>
    <mergeCell ref="A6:E6"/>
    <mergeCell ref="G6:O6"/>
    <mergeCell ref="A7:D8"/>
    <mergeCell ref="E7:E8"/>
    <mergeCell ref="F7:G8"/>
    <mergeCell ref="H7:H8"/>
    <mergeCell ref="I7:I8"/>
    <mergeCell ref="J7:K8"/>
    <mergeCell ref="A15:B15"/>
    <mergeCell ref="L7:O7"/>
    <mergeCell ref="L8:M8"/>
    <mergeCell ref="N8:O8"/>
    <mergeCell ref="A9:D9"/>
    <mergeCell ref="F9:G9"/>
    <mergeCell ref="J9:O9"/>
    <mergeCell ref="A10:O10"/>
    <mergeCell ref="A11:O11"/>
    <mergeCell ref="A12:O12"/>
    <mergeCell ref="A13:O13"/>
    <mergeCell ref="A14:B14"/>
    <mergeCell ref="A25:O25"/>
    <mergeCell ref="A16:B16"/>
    <mergeCell ref="A17:B17"/>
    <mergeCell ref="A18:A21"/>
    <mergeCell ref="A22:C23"/>
    <mergeCell ref="D22:G22"/>
    <mergeCell ref="H22:K22"/>
    <mergeCell ref="L22:O22"/>
    <mergeCell ref="D23:G23"/>
    <mergeCell ref="H23:K23"/>
    <mergeCell ref="L23:O23"/>
    <mergeCell ref="A24:O24"/>
    <mergeCell ref="A29:M29"/>
    <mergeCell ref="N29:O29"/>
    <mergeCell ref="A30:M30"/>
    <mergeCell ref="N30:O30"/>
    <mergeCell ref="A31:M31"/>
    <mergeCell ref="N31:O31"/>
    <mergeCell ref="A26:M26"/>
    <mergeCell ref="N26:O26"/>
    <mergeCell ref="A27:M27"/>
    <mergeCell ref="N27:O27"/>
    <mergeCell ref="A28:M28"/>
    <mergeCell ref="N28:O28"/>
    <mergeCell ref="A42:O42"/>
    <mergeCell ref="A39:M39"/>
    <mergeCell ref="N39:O39"/>
    <mergeCell ref="A40:M40"/>
    <mergeCell ref="N40:O40"/>
    <mergeCell ref="A41:M41"/>
    <mergeCell ref="N41:O41"/>
    <mergeCell ref="A32:M32"/>
    <mergeCell ref="N32:O32"/>
    <mergeCell ref="A33:M33"/>
    <mergeCell ref="N33:O33"/>
    <mergeCell ref="A34:M34"/>
    <mergeCell ref="N34:O34"/>
    <mergeCell ref="A38:M38"/>
    <mergeCell ref="N38:O38"/>
    <mergeCell ref="A35:M35"/>
    <mergeCell ref="N35:O35"/>
    <mergeCell ref="A36:M36"/>
    <mergeCell ref="N36:O36"/>
    <mergeCell ref="A37:M37"/>
    <mergeCell ref="N37:O37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showGridLines="0" tabSelected="1" topLeftCell="A114" workbookViewId="0">
      <selection activeCell="H119" sqref="H119"/>
    </sheetView>
  </sheetViews>
  <sheetFormatPr baseColWidth="10" defaultRowHeight="12.75" x14ac:dyDescent="0.2"/>
  <cols>
    <col min="1" max="1" width="2.7109375" style="81" customWidth="1"/>
    <col min="2" max="2" width="37" style="76" customWidth="1"/>
    <col min="3" max="3" width="10.140625" style="76" customWidth="1"/>
    <col min="4" max="4" width="11.42578125" style="82" customWidth="1"/>
    <col min="5" max="5" width="11.85546875" style="82" bestFit="1" customWidth="1"/>
    <col min="6" max="10" width="11.42578125" style="82" customWidth="1"/>
    <col min="11" max="15" width="11.42578125" style="82"/>
    <col min="16" max="16384" width="11.42578125" style="65"/>
  </cols>
  <sheetData>
    <row r="1" spans="1:15" x14ac:dyDescent="0.2">
      <c r="A1" s="289" t="s">
        <v>182</v>
      </c>
      <c r="B1" s="289"/>
      <c r="C1" s="289"/>
      <c r="D1" s="289"/>
      <c r="E1" s="289"/>
      <c r="F1" s="289"/>
      <c r="G1" s="289"/>
      <c r="H1" s="289"/>
      <c r="I1" s="289"/>
    </row>
    <row r="2" spans="1:15" ht="23.25" x14ac:dyDescent="0.35">
      <c r="A2" s="290" t="s">
        <v>183</v>
      </c>
      <c r="B2" s="291"/>
      <c r="C2" s="292"/>
      <c r="D2" s="292"/>
      <c r="E2" s="289" t="s">
        <v>252</v>
      </c>
      <c r="F2" s="295"/>
      <c r="G2" s="296" t="s">
        <v>184</v>
      </c>
      <c r="H2" s="296"/>
      <c r="I2" s="296"/>
      <c r="J2" s="296"/>
      <c r="K2" s="296"/>
    </row>
    <row r="4" spans="1:15" ht="25.5" customHeight="1" x14ac:dyDescent="0.2">
      <c r="A4" s="293" t="s">
        <v>185</v>
      </c>
      <c r="B4" s="294"/>
      <c r="C4" s="95" t="s">
        <v>186</v>
      </c>
      <c r="D4" s="96">
        <v>43101</v>
      </c>
      <c r="E4" s="96">
        <v>43132</v>
      </c>
      <c r="F4" s="96">
        <v>43160</v>
      </c>
      <c r="G4" s="96">
        <v>43191</v>
      </c>
      <c r="H4" s="96">
        <v>43221</v>
      </c>
      <c r="I4" s="96">
        <v>43252</v>
      </c>
      <c r="J4" s="96">
        <v>43282</v>
      </c>
      <c r="K4" s="96">
        <v>43313</v>
      </c>
      <c r="L4" s="96">
        <v>43344</v>
      </c>
      <c r="M4" s="96">
        <v>43374</v>
      </c>
      <c r="N4" s="96">
        <v>43405</v>
      </c>
      <c r="O4" s="96">
        <v>43435</v>
      </c>
    </row>
    <row r="5" spans="1:15" x14ac:dyDescent="0.2">
      <c r="A5" s="97">
        <v>1</v>
      </c>
      <c r="B5" s="98" t="s">
        <v>187</v>
      </c>
      <c r="C5" s="99" t="s">
        <v>187</v>
      </c>
      <c r="D5" s="100">
        <v>1006</v>
      </c>
      <c r="E5" s="100">
        <v>1007</v>
      </c>
      <c r="F5" s="100">
        <v>1008</v>
      </c>
      <c r="G5" s="100">
        <v>1008</v>
      </c>
      <c r="H5" s="100">
        <v>1008</v>
      </c>
      <c r="I5" s="100">
        <v>1010</v>
      </c>
      <c r="J5" s="100">
        <v>1012</v>
      </c>
      <c r="K5" s="100">
        <v>1020</v>
      </c>
      <c r="L5" s="100">
        <v>1022</v>
      </c>
      <c r="M5" s="100">
        <v>1023</v>
      </c>
      <c r="N5" s="100">
        <v>1025</v>
      </c>
      <c r="O5" s="100">
        <v>1027</v>
      </c>
    </row>
    <row r="6" spans="1:15" s="66" customFormat="1" x14ac:dyDescent="0.2">
      <c r="A6" s="88">
        <v>2</v>
      </c>
      <c r="B6" s="89" t="s">
        <v>188</v>
      </c>
      <c r="C6" s="101" t="s">
        <v>189</v>
      </c>
      <c r="D6" s="102">
        <v>993</v>
      </c>
      <c r="E6" s="102">
        <v>994</v>
      </c>
      <c r="F6" s="102">
        <v>995</v>
      </c>
      <c r="G6" s="102">
        <v>995</v>
      </c>
      <c r="H6" s="102">
        <v>995</v>
      </c>
      <c r="I6" s="142">
        <v>997</v>
      </c>
      <c r="J6" s="102">
        <v>999</v>
      </c>
      <c r="K6" s="102">
        <v>1007</v>
      </c>
      <c r="L6" s="102">
        <v>1009</v>
      </c>
      <c r="M6" s="102">
        <v>1010</v>
      </c>
      <c r="N6" s="102">
        <v>1012</v>
      </c>
      <c r="O6" s="102">
        <v>1014</v>
      </c>
    </row>
    <row r="7" spans="1:15" x14ac:dyDescent="0.2">
      <c r="A7" s="97">
        <v>3</v>
      </c>
      <c r="B7" s="98" t="s">
        <v>190</v>
      </c>
      <c r="C7" s="99" t="s">
        <v>189</v>
      </c>
      <c r="D7" s="100">
        <v>1028</v>
      </c>
      <c r="E7" s="100">
        <v>1028</v>
      </c>
      <c r="F7" s="100">
        <v>1029</v>
      </c>
      <c r="G7" s="100">
        <v>1030</v>
      </c>
      <c r="H7" s="100">
        <v>1030</v>
      </c>
      <c r="I7" s="143">
        <v>1032</v>
      </c>
      <c r="J7" s="100">
        <v>1034</v>
      </c>
      <c r="K7" s="100">
        <v>1042</v>
      </c>
      <c r="L7" s="100">
        <v>1044</v>
      </c>
      <c r="M7" s="100">
        <v>1045</v>
      </c>
      <c r="N7" s="100">
        <v>1048</v>
      </c>
      <c r="O7" s="100">
        <v>1050</v>
      </c>
    </row>
    <row r="8" spans="1:15" x14ac:dyDescent="0.2">
      <c r="A8" s="88">
        <v>4</v>
      </c>
      <c r="B8" s="89" t="s">
        <v>191</v>
      </c>
      <c r="C8" s="101" t="s">
        <v>189</v>
      </c>
      <c r="D8" s="102">
        <v>1049</v>
      </c>
      <c r="E8" s="102">
        <v>1050</v>
      </c>
      <c r="F8" s="102">
        <v>1051</v>
      </c>
      <c r="G8" s="102">
        <v>1052</v>
      </c>
      <c r="H8" s="102">
        <v>1052</v>
      </c>
      <c r="I8" s="142">
        <v>1054</v>
      </c>
      <c r="J8" s="102">
        <v>1055</v>
      </c>
      <c r="K8" s="102">
        <v>1063</v>
      </c>
      <c r="L8" s="102">
        <v>1065</v>
      </c>
      <c r="M8" s="102">
        <v>1015</v>
      </c>
      <c r="N8" s="102">
        <v>983</v>
      </c>
      <c r="O8" s="102">
        <v>985</v>
      </c>
    </row>
    <row r="9" spans="1:15" ht="15" x14ac:dyDescent="0.25">
      <c r="A9" s="97">
        <v>5</v>
      </c>
      <c r="B9" s="98" t="s">
        <v>192</v>
      </c>
      <c r="C9" s="99" t="s">
        <v>193</v>
      </c>
      <c r="D9" s="141">
        <v>25402.950399999998</v>
      </c>
      <c r="E9" s="141">
        <v>22710.186400000002</v>
      </c>
      <c r="F9" s="141">
        <v>24248.960799999997</v>
      </c>
      <c r="G9" s="141">
        <v>23694.890000000003</v>
      </c>
      <c r="H9" s="141">
        <v>22820.651999999998</v>
      </c>
      <c r="I9" s="103">
        <v>23054</v>
      </c>
      <c r="J9" s="103">
        <v>24635</v>
      </c>
      <c r="K9" s="103">
        <v>24861</v>
      </c>
      <c r="L9" s="144">
        <v>23756.171999999999</v>
      </c>
      <c r="M9" s="144">
        <v>22949.346399999999</v>
      </c>
      <c r="N9" s="144">
        <v>19830.227999999999</v>
      </c>
      <c r="O9" s="144">
        <v>20154</v>
      </c>
    </row>
    <row r="10" spans="1:15" x14ac:dyDescent="0.2">
      <c r="A10" s="88">
        <v>6</v>
      </c>
      <c r="B10" s="89" t="s">
        <v>194</v>
      </c>
      <c r="C10" s="101" t="s">
        <v>193</v>
      </c>
      <c r="D10" s="102">
        <v>13126</v>
      </c>
      <c r="E10" s="102">
        <v>10328</v>
      </c>
      <c r="F10" s="102">
        <v>11171</v>
      </c>
      <c r="G10" s="102">
        <v>11764</v>
      </c>
      <c r="H10" s="102">
        <v>11537</v>
      </c>
      <c r="I10" s="102">
        <v>11283</v>
      </c>
      <c r="J10" s="102">
        <v>13918</v>
      </c>
      <c r="K10" s="102">
        <v>12884</v>
      </c>
      <c r="L10" s="102">
        <v>12133</v>
      </c>
      <c r="M10" s="102">
        <v>11705</v>
      </c>
      <c r="N10" s="102">
        <v>12141</v>
      </c>
      <c r="O10" s="102">
        <v>10737</v>
      </c>
    </row>
    <row r="11" spans="1:15" x14ac:dyDescent="0.2">
      <c r="A11" s="97">
        <v>7</v>
      </c>
      <c r="B11" s="98" t="s">
        <v>265</v>
      </c>
      <c r="C11" s="99" t="s">
        <v>195</v>
      </c>
      <c r="D11" s="104">
        <v>12229</v>
      </c>
      <c r="E11" s="100">
        <v>9433</v>
      </c>
      <c r="F11" s="100">
        <v>10430</v>
      </c>
      <c r="G11" s="100">
        <v>11115</v>
      </c>
      <c r="H11" s="100">
        <v>10760</v>
      </c>
      <c r="I11" s="100">
        <v>10275</v>
      </c>
      <c r="J11" s="104">
        <v>13001</v>
      </c>
      <c r="K11" s="104">
        <v>12193</v>
      </c>
      <c r="L11" s="104">
        <v>11352</v>
      </c>
      <c r="M11" s="104">
        <v>11004</v>
      </c>
      <c r="N11" s="104">
        <v>11481</v>
      </c>
      <c r="O11" s="104">
        <v>10003</v>
      </c>
    </row>
    <row r="12" spans="1:15" hidden="1" x14ac:dyDescent="0.2">
      <c r="A12" s="88">
        <v>8</v>
      </c>
      <c r="B12" s="89" t="s">
        <v>196</v>
      </c>
      <c r="C12" s="101" t="s">
        <v>195</v>
      </c>
      <c r="D12" s="105"/>
      <c r="E12" s="102"/>
      <c r="F12" s="102"/>
      <c r="G12" s="102"/>
      <c r="H12" s="102"/>
      <c r="I12" s="102"/>
      <c r="J12" s="105"/>
      <c r="K12" s="105"/>
      <c r="L12" s="105"/>
      <c r="M12" s="105"/>
      <c r="N12" s="105"/>
      <c r="O12" s="105"/>
    </row>
    <row r="13" spans="1:15" hidden="1" x14ac:dyDescent="0.2">
      <c r="A13" s="97">
        <v>9</v>
      </c>
      <c r="B13" s="98" t="s">
        <v>197</v>
      </c>
      <c r="C13" s="99" t="s">
        <v>195</v>
      </c>
      <c r="D13" s="104"/>
      <c r="E13" s="100"/>
      <c r="F13" s="100"/>
      <c r="G13" s="100"/>
      <c r="H13" s="100"/>
      <c r="I13" s="100"/>
      <c r="J13" s="104"/>
      <c r="K13" s="104"/>
      <c r="L13" s="104"/>
      <c r="M13" s="104"/>
      <c r="N13" s="104"/>
      <c r="O13" s="104"/>
    </row>
    <row r="14" spans="1:15" x14ac:dyDescent="0.2">
      <c r="A14" s="88">
        <v>10</v>
      </c>
      <c r="B14" s="89" t="s">
        <v>198</v>
      </c>
      <c r="C14" s="101" t="s">
        <v>195</v>
      </c>
      <c r="D14" s="102">
        <f>SUM(1754725+5771469+175821+412500+178500+17704-1708)</f>
        <v>8309011</v>
      </c>
      <c r="E14" s="102">
        <f>SUM(1756479+4300520+206422+750000+36000+12000+126000-2738)</f>
        <v>7184683</v>
      </c>
      <c r="F14" s="102">
        <f>SUM(1817980+4993732+215008+662500+34116-58348+36000+94500+10328+11)</f>
        <v>7805827</v>
      </c>
      <c r="G14" s="102">
        <f>SUM(1819490+5300307+226158+626000-28958+36000+73500+8852+20656-678)</f>
        <v>8081327</v>
      </c>
      <c r="H14" s="102">
        <f>SUM(1819490+5191263+216454+779650+36000+10500+8852+10328-700)</f>
        <v>8071837</v>
      </c>
      <c r="I14" s="102">
        <f>SUM(1823118+5008244+233576+492650+31500+30984-86)</f>
        <v>7619986</v>
      </c>
      <c r="J14" s="102">
        <f>SUM(1826443+6347762+231266+476900+42000+8852-876)</f>
        <v>8932347</v>
      </c>
      <c r="K14" s="102">
        <f>SUM(1840955+5860592+253677+746900+252000-144)</f>
        <v>8953980</v>
      </c>
      <c r="L14" s="102">
        <f>SUM(1844280+5477269+256339+689150+126000+20656-312)</f>
        <v>8413382</v>
      </c>
      <c r="M14" s="102">
        <f>SUM(1844584+5222366+260996+847000-88567+105000+8852+30984-994)</f>
        <v>8230221</v>
      </c>
      <c r="N14" s="102">
        <f>SUM(1849722+5449949+102836+577500+52500+20656-1194)</f>
        <v>8051969</v>
      </c>
      <c r="O14" s="102">
        <f>SUM(1853350+4747815+147586+519750+21000-886)</f>
        <v>7288615</v>
      </c>
    </row>
    <row r="15" spans="1:15" x14ac:dyDescent="0.2">
      <c r="A15" s="97">
        <v>11</v>
      </c>
      <c r="B15" s="98" t="s">
        <v>199</v>
      </c>
      <c r="C15" s="99" t="s">
        <v>195</v>
      </c>
      <c r="D15" s="100">
        <f>SUM(1624478+5286159+3005+412500+178500+17704-1662)</f>
        <v>7520684</v>
      </c>
      <c r="E15" s="100">
        <f>SUM(22200+1610005+3788806+25885+656250+48000+126000-3136)</f>
        <v>6274010</v>
      </c>
      <c r="F15" s="100">
        <f>SUM(1637893+4495965+33896+493750+36000+31500+10328-132)</f>
        <v>6739200</v>
      </c>
      <c r="G15" s="100">
        <f>SUM(1666082+5011422+39329+569250+36000+73500+20656-891)</f>
        <v>7415348</v>
      </c>
      <c r="H15" s="100">
        <f>SUM(4250+1616204+4700199+21887+630500+36000+10500+8852+10328-348)</f>
        <v>7038372</v>
      </c>
      <c r="I15" s="100">
        <f>SUM(1689512+4676627+33154+454150+31500+10328-162)</f>
        <v>6895109</v>
      </c>
      <c r="J15" s="100">
        <f>SUM(1629658+5682622+24744+403750+31500-706)</f>
        <v>7771568</v>
      </c>
      <c r="K15" s="100">
        <f>SUM(1554379+4566630+40940+673750+231000-228)</f>
        <v>7066471</v>
      </c>
      <c r="L15" s="100">
        <f>SUM(4450+1716573+5613496+38734+635250+126000-100)</f>
        <v>8134403</v>
      </c>
      <c r="M15" s="100">
        <f>SUM(1649306+4836311-1173161+808500+94500+8852+10328-939)</f>
        <v>6233697</v>
      </c>
      <c r="N15" s="100">
        <f>SUM(30850+1553031+4412878+28743+474861+42000-1002)</f>
        <v>6541361</v>
      </c>
      <c r="O15" s="100">
        <f>SUM(23332+1662910+4329376+61199+500500+21000-933)</f>
        <v>6597384</v>
      </c>
    </row>
    <row r="16" spans="1:15" x14ac:dyDescent="0.2">
      <c r="A16" s="88">
        <v>12</v>
      </c>
      <c r="B16" s="89" t="s">
        <v>200</v>
      </c>
      <c r="C16" s="101" t="s">
        <v>195</v>
      </c>
      <c r="D16" s="102">
        <f>SUM(1247174+4605712+119000)</f>
        <v>5971886</v>
      </c>
      <c r="E16" s="132">
        <f>SUM(1247346+3384594+84000)</f>
        <v>4715940</v>
      </c>
      <c r="F16" s="135">
        <f>SUM(1290490+3995212-50011+63000)</f>
        <v>5298691</v>
      </c>
      <c r="G16" s="135">
        <f>SUM(1291381+4302913-24821+49000)</f>
        <v>5618473</v>
      </c>
      <c r="H16" s="135">
        <f>SUM(1291381+4146265+7000)</f>
        <v>5444646</v>
      </c>
      <c r="I16" s="135">
        <f>SUM(1293519+3882768+21000)</f>
        <v>5197287</v>
      </c>
      <c r="J16" s="135">
        <f>SUM(1295479+5082163+28000)</f>
        <v>6405642</v>
      </c>
      <c r="K16" s="135">
        <f>SUM(1304031+4769214+168000)</f>
        <v>6241245</v>
      </c>
      <c r="L16" s="135">
        <f>SUM(1305991+4387486+84000)</f>
        <v>5777477</v>
      </c>
      <c r="M16" s="135">
        <f>SUM(1306737+4220734+70000)</f>
        <v>5597471</v>
      </c>
      <c r="N16" s="135">
        <f>SUM(1313638+4431857+35000)</f>
        <v>5780495</v>
      </c>
      <c r="O16" s="135">
        <f>SUM(1315776+3782729+14000)</f>
        <v>5112505</v>
      </c>
    </row>
    <row r="17" spans="1:15" x14ac:dyDescent="0.2">
      <c r="A17" s="97">
        <v>13</v>
      </c>
      <c r="B17" s="98" t="s">
        <v>201</v>
      </c>
      <c r="C17" s="99" t="s">
        <v>195</v>
      </c>
      <c r="D17" s="100">
        <f>SUM(1041817+4216650+119000)</f>
        <v>5377467</v>
      </c>
      <c r="E17" s="134">
        <f>SUM(1038973+3011416+84000)</f>
        <v>4134389</v>
      </c>
      <c r="F17" s="140">
        <f>SUM(1049045+3615936+21000)</f>
        <v>4685981</v>
      </c>
      <c r="G17" s="140">
        <f>SUM(1058639+4068913+49000)</f>
        <v>5176552</v>
      </c>
      <c r="H17" s="140">
        <f>SUM(1039441+3821902+7000)</f>
        <v>4868343</v>
      </c>
      <c r="I17" s="140">
        <f>SUM(1083877+3638921+21000)</f>
        <v>4743798</v>
      </c>
      <c r="J17" s="140">
        <f>SUM(1033619+4542119+21000)</f>
        <v>5596738</v>
      </c>
      <c r="K17" s="140">
        <f>SUM(998951+3732049+154000)</f>
        <v>4885000</v>
      </c>
      <c r="L17" s="140">
        <f>SUM(1103810+4575538+84000)</f>
        <v>5763348</v>
      </c>
      <c r="M17" s="140">
        <f>SUM(1055085+3938971+63000)</f>
        <v>5057056</v>
      </c>
      <c r="N17" s="140">
        <f>SUM(1017538+3604460+28000)</f>
        <v>4649998</v>
      </c>
      <c r="O17" s="140">
        <f>SUM(1091518+3453557+14000)</f>
        <v>4559075</v>
      </c>
    </row>
    <row r="18" spans="1:15" x14ac:dyDescent="0.2">
      <c r="A18" s="88">
        <v>14</v>
      </c>
      <c r="B18" s="89" t="s">
        <v>202</v>
      </c>
      <c r="C18" s="101" t="s">
        <v>195</v>
      </c>
      <c r="D18" s="102">
        <f>7370024+34116</f>
        <v>7404140</v>
      </c>
      <c r="E18" s="136">
        <f>7371874+34116</f>
        <v>7405990</v>
      </c>
      <c r="F18" s="102">
        <v>7334784</v>
      </c>
      <c r="G18" s="102">
        <v>7344056</v>
      </c>
      <c r="H18" s="102">
        <v>7339233</v>
      </c>
      <c r="I18" s="102">
        <v>7357402</v>
      </c>
      <c r="J18" s="102">
        <v>7358140</v>
      </c>
      <c r="K18" s="102">
        <v>7416347</v>
      </c>
      <c r="L18" s="102">
        <v>7423758</v>
      </c>
      <c r="M18" s="102">
        <f>7124412-4279297</f>
        <v>2845115</v>
      </c>
      <c r="N18" s="102">
        <v>6927556</v>
      </c>
      <c r="O18" s="102">
        <v>6945725</v>
      </c>
    </row>
    <row r="19" spans="1:15" x14ac:dyDescent="0.2">
      <c r="A19" s="97">
        <v>15</v>
      </c>
      <c r="B19" s="98" t="s">
        <v>203</v>
      </c>
      <c r="C19" s="99" t="s">
        <v>195</v>
      </c>
      <c r="D19" s="100">
        <v>6605049</v>
      </c>
      <c r="E19" s="137">
        <v>6566314</v>
      </c>
      <c r="F19" s="100">
        <v>6446939</v>
      </c>
      <c r="G19" s="100">
        <v>6558749</v>
      </c>
      <c r="H19" s="100">
        <v>6392585</v>
      </c>
      <c r="I19" s="100">
        <v>6577785</v>
      </c>
      <c r="J19" s="100">
        <v>6328295</v>
      </c>
      <c r="K19" s="100">
        <v>5888432</v>
      </c>
      <c r="L19" s="100">
        <v>6993771</v>
      </c>
      <c r="M19" s="100">
        <v>6457878</v>
      </c>
      <c r="N19" s="100">
        <v>5832614</v>
      </c>
      <c r="O19" s="100">
        <v>6329303</v>
      </c>
    </row>
    <row r="20" spans="1:15" s="73" customFormat="1" x14ac:dyDescent="0.2">
      <c r="A20" s="88">
        <v>16</v>
      </c>
      <c r="B20" s="89" t="s">
        <v>204</v>
      </c>
      <c r="C20" s="101" t="s">
        <v>195</v>
      </c>
      <c r="D20" s="102">
        <f>SUM(282343+107021+4625883+26344-25700+2289)</f>
        <v>5018180</v>
      </c>
      <c r="E20" s="133">
        <f>SUM(396218+585680+4797655+26344-14950+2267)</f>
        <v>5793214</v>
      </c>
      <c r="F20" s="138">
        <f>SUM(414933+612328+4974632+93750+643362+26344-22200+2693)</f>
        <v>6745842</v>
      </c>
      <c r="G20" s="138">
        <f>SUM(454807+637711+5146311+196708+63000+16016-22200+2750)</f>
        <v>6495103</v>
      </c>
      <c r="H20" s="138">
        <f>SUM(424655+389880+5327619+56750+8852+16016-17948+2925)</f>
        <v>6208749</v>
      </c>
      <c r="I20" s="138">
        <f>SUM(477162+576867+5521628+168400+636568+8852+16016-29975+2656)</f>
        <v>7378174</v>
      </c>
      <c r="J20" s="138">
        <f>SUM(423049+442634+5720061+77000+636568+8852+36672-30250+2849)</f>
        <v>7317435</v>
      </c>
      <c r="K20" s="138">
        <f>SUM(486531+770667+5919143+130900+10500+17704+36672-9700+2602)</f>
        <v>7365019</v>
      </c>
      <c r="L20" s="138">
        <f>SUM(525837+732920+6127733+146300+21000+8852+36672+2863)</f>
        <v>7602177</v>
      </c>
      <c r="M20" s="138">
        <f>SUM(500582+766424+6337554+103950+8852+47000-14000+2647)</f>
        <v>7753009</v>
      </c>
      <c r="N20" s="138">
        <f>SUM(517917+618186+5149978+84700-88567+10500+8852+67656+1989)</f>
        <v>6371211</v>
      </c>
      <c r="O20" s="138">
        <f>SUM(620293+1265406+4546503+148839+549658+10500+77663-30850+1690)</f>
        <v>7189702</v>
      </c>
    </row>
    <row r="21" spans="1:15" x14ac:dyDescent="0.2">
      <c r="A21" s="97">
        <v>17</v>
      </c>
      <c r="B21" s="98" t="s">
        <v>205</v>
      </c>
      <c r="C21" s="106" t="s">
        <v>195</v>
      </c>
      <c r="D21" s="100">
        <f>SUM(14618+5951+1044+40)</f>
        <v>21653</v>
      </c>
      <c r="E21" s="137">
        <f>SUM(119281+439262+2614-14950-26)</f>
        <v>546181</v>
      </c>
      <c r="F21" s="137">
        <f>SUM(141798+426058+10379+65792+10328+141)</f>
        <v>654496</v>
      </c>
      <c r="G21" s="137">
        <f>SUM(176910+505775+5521+196708+63000+78)</f>
        <v>947992</v>
      </c>
      <c r="H21" s="137">
        <f>SUM(142921+289962+558+37500-13)</f>
        <v>470928</v>
      </c>
      <c r="I21" s="137">
        <f>SUM(195880+483282+1989+129900-9425-39)</f>
        <v>801587</v>
      </c>
      <c r="J21" s="137">
        <f>SUM(133303+337107+7440+19250-20550+103)</f>
        <v>476653</v>
      </c>
      <c r="K21" s="137">
        <f>SUM(184996+622875+4147+38500+10500+8852-9700-205)</f>
        <v>859965</v>
      </c>
      <c r="L21" s="137">
        <f>SUM(217050+539103+7784+115500+21000+10328+126)</f>
        <v>910891</v>
      </c>
      <c r="M21" s="137">
        <f>SUM(177942+534293+1209819+57750-14000-123)</f>
        <v>1965681</v>
      </c>
      <c r="N21" s="137">
        <f>SUM(194315+389851+3942+38500+10500+8852+10649-24)</f>
        <v>656585</v>
      </c>
      <c r="O21" s="137">
        <f>SUM(280671+1017584+64478+102639+10500+10007-21150+65)</f>
        <v>1464794</v>
      </c>
    </row>
    <row r="22" spans="1:15" s="73" customFormat="1" x14ac:dyDescent="0.2">
      <c r="A22" s="88">
        <v>18</v>
      </c>
      <c r="B22" s="89" t="s">
        <v>206</v>
      </c>
      <c r="C22" s="101" t="s">
        <v>195</v>
      </c>
      <c r="D22" s="102">
        <f>SUM(2974261+17721)</f>
        <v>2991982</v>
      </c>
      <c r="E22" s="133">
        <f>SUM(3144491+399582)</f>
        <v>3544073</v>
      </c>
      <c r="F22" s="138">
        <f>SUM(3230280+379648)</f>
        <v>3609928</v>
      </c>
      <c r="G22" s="138">
        <f>SUM(3340000+406400+42000)</f>
        <v>3788400</v>
      </c>
      <c r="H22" s="138">
        <f>SUM(3401491+250481)</f>
        <v>3651972</v>
      </c>
      <c r="I22" s="138">
        <f>SUM(3542002+333613)</f>
        <v>3875615</v>
      </c>
      <c r="J22" s="138">
        <f>SUM(3611262+267261)</f>
        <v>3878523</v>
      </c>
      <c r="K22" s="138">
        <f>SUM(3748398+562476+7000)</f>
        <v>4317874</v>
      </c>
      <c r="L22" s="138">
        <f>SUM(3825832+460947+14000)</f>
        <v>4300779</v>
      </c>
      <c r="M22" s="138">
        <f>SUM(3909572+457896)</f>
        <v>4367468</v>
      </c>
      <c r="N22" s="138">
        <f>SUM(3128287+330974+7000)</f>
        <v>3466261</v>
      </c>
      <c r="O22" s="138">
        <f>SUM(3292488+879192+7000)</f>
        <v>4178680</v>
      </c>
    </row>
    <row r="23" spans="1:15" x14ac:dyDescent="0.2">
      <c r="A23" s="97">
        <v>19</v>
      </c>
      <c r="B23" s="98" t="s">
        <v>207</v>
      </c>
      <c r="C23" s="99" t="s">
        <v>195</v>
      </c>
      <c r="D23" s="100">
        <f>SUM(34093+6601)</f>
        <v>40694</v>
      </c>
      <c r="E23" s="137">
        <f>SUM(115163+353854)</f>
        <v>469017</v>
      </c>
      <c r="F23" s="100">
        <f>SUM(135083+378051)</f>
        <v>513134</v>
      </c>
      <c r="G23" s="100">
        <f>SUM(165622+387976+42000)</f>
        <v>595598</v>
      </c>
      <c r="H23" s="100">
        <f>SUM(107865+232857)</f>
        <v>340722</v>
      </c>
      <c r="I23" s="100">
        <f>SUM(147129+321417)</f>
        <v>468546</v>
      </c>
      <c r="J23" s="100">
        <f>SUM(124724+244829)</f>
        <v>369553</v>
      </c>
      <c r="K23" s="100">
        <f>SUM(177711+531152+7000)</f>
        <v>715863</v>
      </c>
      <c r="L23" s="100">
        <f>SUM(169445+422541+14000)</f>
        <v>605986</v>
      </c>
      <c r="M23" s="100">
        <f>SUM(124017+408685)</f>
        <v>532702</v>
      </c>
      <c r="N23" s="100">
        <f>SUM(128884+279179+7000)</f>
        <v>415063</v>
      </c>
      <c r="O23" s="100">
        <f>SUM(252815+816903+7000)</f>
        <v>1076718</v>
      </c>
    </row>
    <row r="24" spans="1:15" s="73" customFormat="1" x14ac:dyDescent="0.2">
      <c r="A24" s="88">
        <v>20</v>
      </c>
      <c r="B24" s="89" t="s">
        <v>208</v>
      </c>
      <c r="C24" s="101" t="s">
        <v>195</v>
      </c>
      <c r="D24" s="102">
        <f>6386679+575130+7229</f>
        <v>6969038</v>
      </c>
      <c r="E24" s="133">
        <f>7028925+609246+7229</f>
        <v>7645400</v>
      </c>
      <c r="F24" s="139">
        <f>7281551+7229</f>
        <v>7288780</v>
      </c>
      <c r="G24" s="139">
        <f>7551502+636568+7229</f>
        <v>8195299</v>
      </c>
      <c r="H24" s="139">
        <f>7591640+636568+7229</f>
        <v>8235437</v>
      </c>
      <c r="I24" s="102">
        <f>8028156+7229</f>
        <v>8035385</v>
      </c>
      <c r="J24" s="102">
        <f>8156012+7229</f>
        <v>8163241</v>
      </c>
      <c r="K24" s="102">
        <f>8567488+636568+7229</f>
        <v>9211285</v>
      </c>
      <c r="L24" s="102">
        <f>8712747+636568+7229</f>
        <v>9356544</v>
      </c>
      <c r="M24" s="102">
        <f>8966593+636568+7229-8197740</f>
        <v>1412650</v>
      </c>
      <c r="N24" s="102">
        <f>6742960+636568-5996383</f>
        <v>1383145</v>
      </c>
      <c r="O24" s="102">
        <v>1859055</v>
      </c>
    </row>
    <row r="25" spans="1:15" x14ac:dyDescent="0.2">
      <c r="A25" s="97">
        <v>21</v>
      </c>
      <c r="B25" s="98" t="s">
        <v>209</v>
      </c>
      <c r="C25" s="99" t="s">
        <v>195</v>
      </c>
      <c r="D25" s="100">
        <v>116003</v>
      </c>
      <c r="E25" s="137">
        <v>515089</v>
      </c>
      <c r="F25" s="100">
        <f>636790+40910</f>
        <v>677700</v>
      </c>
      <c r="G25" s="100">
        <v>731011</v>
      </c>
      <c r="H25" s="100">
        <v>481150</v>
      </c>
      <c r="I25" s="100">
        <v>688425</v>
      </c>
      <c r="J25" s="100">
        <v>618343</v>
      </c>
      <c r="K25" s="100">
        <v>825569</v>
      </c>
      <c r="L25" s="100">
        <v>739801</v>
      </c>
      <c r="M25" s="100">
        <v>1605686</v>
      </c>
      <c r="N25" s="100">
        <f>673486-18907</f>
        <v>654579</v>
      </c>
      <c r="O25" s="100">
        <v>1067858</v>
      </c>
    </row>
    <row r="26" spans="1:15" s="73" customFormat="1" x14ac:dyDescent="0.2">
      <c r="A26" s="88">
        <v>22</v>
      </c>
      <c r="B26" s="89" t="s">
        <v>210</v>
      </c>
      <c r="C26" s="101" t="s">
        <v>195</v>
      </c>
      <c r="D26" s="107">
        <f t="shared" ref="D26:D31" si="0">+D14+D20</f>
        <v>13327191</v>
      </c>
      <c r="E26" s="107">
        <f t="shared" ref="E26:O31" si="1">+E14+E20</f>
        <v>12977897</v>
      </c>
      <c r="F26" s="107">
        <f t="shared" si="1"/>
        <v>14551669</v>
      </c>
      <c r="G26" s="107">
        <f t="shared" ref="G26" si="2">+G14+G20</f>
        <v>14576430</v>
      </c>
      <c r="H26" s="107">
        <f t="shared" si="1"/>
        <v>14280586</v>
      </c>
      <c r="I26" s="107">
        <f t="shared" si="1"/>
        <v>14998160</v>
      </c>
      <c r="J26" s="107">
        <f t="shared" si="1"/>
        <v>16249782</v>
      </c>
      <c r="K26" s="107">
        <f t="shared" si="1"/>
        <v>16318999</v>
      </c>
      <c r="L26" s="107">
        <f t="shared" si="1"/>
        <v>16015559</v>
      </c>
      <c r="M26" s="107">
        <f t="shared" si="1"/>
        <v>15983230</v>
      </c>
      <c r="N26" s="107">
        <f t="shared" si="1"/>
        <v>14423180</v>
      </c>
      <c r="O26" s="107">
        <f t="shared" si="1"/>
        <v>14478317</v>
      </c>
    </row>
    <row r="27" spans="1:15" x14ac:dyDescent="0.2">
      <c r="A27" s="97">
        <v>23</v>
      </c>
      <c r="B27" s="98" t="s">
        <v>211</v>
      </c>
      <c r="C27" s="106" t="s">
        <v>195</v>
      </c>
      <c r="D27" s="107">
        <f t="shared" si="0"/>
        <v>7542337</v>
      </c>
      <c r="E27" s="107">
        <f t="shared" si="1"/>
        <v>6820191</v>
      </c>
      <c r="F27" s="107">
        <f t="shared" si="1"/>
        <v>7393696</v>
      </c>
      <c r="G27" s="107">
        <f t="shared" ref="G27" si="3">+G15+G21</f>
        <v>8363340</v>
      </c>
      <c r="H27" s="107">
        <f t="shared" si="1"/>
        <v>7509300</v>
      </c>
      <c r="I27" s="107">
        <f t="shared" si="1"/>
        <v>7696696</v>
      </c>
      <c r="J27" s="107">
        <f t="shared" si="1"/>
        <v>8248221</v>
      </c>
      <c r="K27" s="107">
        <f t="shared" si="1"/>
        <v>7926436</v>
      </c>
      <c r="L27" s="107">
        <f t="shared" si="1"/>
        <v>9045294</v>
      </c>
      <c r="M27" s="107">
        <f t="shared" si="1"/>
        <v>8199378</v>
      </c>
      <c r="N27" s="107">
        <f t="shared" si="1"/>
        <v>7197946</v>
      </c>
      <c r="O27" s="107">
        <f t="shared" si="1"/>
        <v>8062178</v>
      </c>
    </row>
    <row r="28" spans="1:15" s="73" customFormat="1" x14ac:dyDescent="0.2">
      <c r="A28" s="88">
        <v>24</v>
      </c>
      <c r="B28" s="89" t="s">
        <v>212</v>
      </c>
      <c r="C28" s="101" t="s">
        <v>195</v>
      </c>
      <c r="D28" s="107">
        <f t="shared" si="0"/>
        <v>8963868</v>
      </c>
      <c r="E28" s="107">
        <f t="shared" si="1"/>
        <v>8260013</v>
      </c>
      <c r="F28" s="107">
        <f t="shared" si="1"/>
        <v>8908619</v>
      </c>
      <c r="G28" s="107">
        <f t="shared" ref="G28" si="4">+G16+G22</f>
        <v>9406873</v>
      </c>
      <c r="H28" s="107">
        <f t="shared" si="1"/>
        <v>9096618</v>
      </c>
      <c r="I28" s="107">
        <f t="shared" si="1"/>
        <v>9072902</v>
      </c>
      <c r="J28" s="107">
        <f t="shared" si="1"/>
        <v>10284165</v>
      </c>
      <c r="K28" s="107">
        <f t="shared" si="1"/>
        <v>10559119</v>
      </c>
      <c r="L28" s="107">
        <f t="shared" si="1"/>
        <v>10078256</v>
      </c>
      <c r="M28" s="107">
        <f t="shared" si="1"/>
        <v>9964939</v>
      </c>
      <c r="N28" s="107">
        <f t="shared" si="1"/>
        <v>9246756</v>
      </c>
      <c r="O28" s="107">
        <f t="shared" si="1"/>
        <v>9291185</v>
      </c>
    </row>
    <row r="29" spans="1:15" x14ac:dyDescent="0.2">
      <c r="A29" s="97">
        <v>25</v>
      </c>
      <c r="B29" s="98" t="s">
        <v>213</v>
      </c>
      <c r="C29" s="99" t="s">
        <v>195</v>
      </c>
      <c r="D29" s="107">
        <f t="shared" si="0"/>
        <v>5418161</v>
      </c>
      <c r="E29" s="107">
        <f t="shared" si="1"/>
        <v>4603406</v>
      </c>
      <c r="F29" s="107">
        <f t="shared" si="1"/>
        <v>5199115</v>
      </c>
      <c r="G29" s="107">
        <f t="shared" ref="G29" si="5">+G17+G23</f>
        <v>5772150</v>
      </c>
      <c r="H29" s="107">
        <f t="shared" si="1"/>
        <v>5209065</v>
      </c>
      <c r="I29" s="107">
        <f t="shared" si="1"/>
        <v>5212344</v>
      </c>
      <c r="J29" s="107">
        <f t="shared" si="1"/>
        <v>5966291</v>
      </c>
      <c r="K29" s="107">
        <f t="shared" si="1"/>
        <v>5600863</v>
      </c>
      <c r="L29" s="107">
        <f t="shared" si="1"/>
        <v>6369334</v>
      </c>
      <c r="M29" s="107">
        <f t="shared" si="1"/>
        <v>5589758</v>
      </c>
      <c r="N29" s="107">
        <f t="shared" si="1"/>
        <v>5065061</v>
      </c>
      <c r="O29" s="107">
        <f t="shared" si="1"/>
        <v>5635793</v>
      </c>
    </row>
    <row r="30" spans="1:15" s="73" customFormat="1" x14ac:dyDescent="0.2">
      <c r="A30" s="88">
        <v>26</v>
      </c>
      <c r="B30" s="89" t="s">
        <v>214</v>
      </c>
      <c r="C30" s="101" t="s">
        <v>195</v>
      </c>
      <c r="D30" s="107">
        <f t="shared" si="0"/>
        <v>14373178</v>
      </c>
      <c r="E30" s="107">
        <f t="shared" si="1"/>
        <v>15051390</v>
      </c>
      <c r="F30" s="107">
        <f t="shared" si="1"/>
        <v>14623564</v>
      </c>
      <c r="G30" s="107">
        <f t="shared" ref="G30" si="6">+G18+G24</f>
        <v>15539355</v>
      </c>
      <c r="H30" s="107">
        <f t="shared" si="1"/>
        <v>15574670</v>
      </c>
      <c r="I30" s="107">
        <f t="shared" si="1"/>
        <v>15392787</v>
      </c>
      <c r="J30" s="107">
        <f t="shared" si="1"/>
        <v>15521381</v>
      </c>
      <c r="K30" s="107">
        <f t="shared" si="1"/>
        <v>16627632</v>
      </c>
      <c r="L30" s="107">
        <f t="shared" si="1"/>
        <v>16780302</v>
      </c>
      <c r="M30" s="107">
        <f t="shared" si="1"/>
        <v>4257765</v>
      </c>
      <c r="N30" s="107">
        <f t="shared" si="1"/>
        <v>8310701</v>
      </c>
      <c r="O30" s="107">
        <f t="shared" si="1"/>
        <v>8804780</v>
      </c>
    </row>
    <row r="31" spans="1:15" x14ac:dyDescent="0.2">
      <c r="A31" s="97">
        <v>27</v>
      </c>
      <c r="B31" s="98" t="s">
        <v>215</v>
      </c>
      <c r="C31" s="99" t="s">
        <v>195</v>
      </c>
      <c r="D31" s="107">
        <f t="shared" si="0"/>
        <v>6721052</v>
      </c>
      <c r="E31" s="107">
        <f t="shared" si="1"/>
        <v>7081403</v>
      </c>
      <c r="F31" s="107">
        <f t="shared" si="1"/>
        <v>7124639</v>
      </c>
      <c r="G31" s="107">
        <f t="shared" ref="G31" si="7">+G19+G25</f>
        <v>7289760</v>
      </c>
      <c r="H31" s="107">
        <f t="shared" si="1"/>
        <v>6873735</v>
      </c>
      <c r="I31" s="107">
        <f t="shared" si="1"/>
        <v>7266210</v>
      </c>
      <c r="J31" s="107">
        <f t="shared" si="1"/>
        <v>6946638</v>
      </c>
      <c r="K31" s="107">
        <f t="shared" si="1"/>
        <v>6714001</v>
      </c>
      <c r="L31" s="107">
        <f t="shared" si="1"/>
        <v>7733572</v>
      </c>
      <c r="M31" s="107">
        <f t="shared" si="1"/>
        <v>8063564</v>
      </c>
      <c r="N31" s="107">
        <f t="shared" si="1"/>
        <v>6487193</v>
      </c>
      <c r="O31" s="107">
        <f t="shared" si="1"/>
        <v>7397161</v>
      </c>
    </row>
    <row r="32" spans="1:15" x14ac:dyDescent="0.2">
      <c r="A32" s="88">
        <v>28</v>
      </c>
      <c r="B32" s="89" t="s">
        <v>216</v>
      </c>
      <c r="C32" s="101" t="s">
        <v>195</v>
      </c>
      <c r="D32" s="107">
        <f t="shared" ref="D32" si="8">+D26+D28+D30</f>
        <v>36664237</v>
      </c>
      <c r="E32" s="107">
        <f t="shared" ref="E32:O33" si="9">+E26+E28+E30</f>
        <v>36289300</v>
      </c>
      <c r="F32" s="107">
        <f t="shared" si="9"/>
        <v>38083852</v>
      </c>
      <c r="G32" s="107">
        <f t="shared" ref="G32" si="10">+G26+G28+G30</f>
        <v>39522658</v>
      </c>
      <c r="H32" s="107">
        <f t="shared" si="9"/>
        <v>38951874</v>
      </c>
      <c r="I32" s="107">
        <f t="shared" si="9"/>
        <v>39463849</v>
      </c>
      <c r="J32" s="107">
        <f t="shared" si="9"/>
        <v>42055328</v>
      </c>
      <c r="K32" s="107">
        <f t="shared" si="9"/>
        <v>43505750</v>
      </c>
      <c r="L32" s="107">
        <f t="shared" si="9"/>
        <v>42874117</v>
      </c>
      <c r="M32" s="107">
        <f t="shared" si="9"/>
        <v>30205934</v>
      </c>
      <c r="N32" s="107">
        <f t="shared" si="9"/>
        <v>31980637</v>
      </c>
      <c r="O32" s="107">
        <f t="shared" si="9"/>
        <v>32574282</v>
      </c>
    </row>
    <row r="33" spans="1:15" x14ac:dyDescent="0.2">
      <c r="A33" s="97">
        <v>29</v>
      </c>
      <c r="B33" s="98" t="s">
        <v>217</v>
      </c>
      <c r="C33" s="99" t="s">
        <v>195</v>
      </c>
      <c r="D33" s="107">
        <f t="shared" ref="D33" si="11">+D31+D29+D27</f>
        <v>19681550</v>
      </c>
      <c r="E33" s="107">
        <f t="shared" si="9"/>
        <v>18505000</v>
      </c>
      <c r="F33" s="107">
        <f t="shared" si="9"/>
        <v>19717450</v>
      </c>
      <c r="G33" s="107">
        <f t="shared" ref="G33" si="12">+G27+G29+G31</f>
        <v>21425250</v>
      </c>
      <c r="H33" s="107">
        <f t="shared" si="9"/>
        <v>19592100</v>
      </c>
      <c r="I33" s="107">
        <f t="shared" si="9"/>
        <v>20175250</v>
      </c>
      <c r="J33" s="107">
        <f t="shared" ref="J33:O33" si="13">+J31+J29+J27</f>
        <v>21161150</v>
      </c>
      <c r="K33" s="107">
        <f t="shared" si="13"/>
        <v>20241300</v>
      </c>
      <c r="L33" s="107">
        <f t="shared" si="13"/>
        <v>23148200</v>
      </c>
      <c r="M33" s="107">
        <f t="shared" si="13"/>
        <v>21852700</v>
      </c>
      <c r="N33" s="107">
        <f t="shared" si="13"/>
        <v>18750200</v>
      </c>
      <c r="O33" s="107">
        <f t="shared" si="13"/>
        <v>21095132</v>
      </c>
    </row>
    <row r="34" spans="1:15" x14ac:dyDescent="0.2">
      <c r="A34" s="88">
        <v>30</v>
      </c>
      <c r="B34" s="89" t="s">
        <v>218</v>
      </c>
      <c r="C34" s="101" t="s">
        <v>219</v>
      </c>
      <c r="D34" s="108"/>
      <c r="E34" s="108"/>
      <c r="F34" s="108"/>
      <c r="G34" s="108"/>
      <c r="H34" s="108"/>
      <c r="I34" s="108"/>
      <c r="J34" s="91"/>
      <c r="K34" s="91"/>
      <c r="L34" s="91"/>
      <c r="M34" s="91"/>
      <c r="N34" s="91"/>
      <c r="O34" s="91"/>
    </row>
    <row r="35" spans="1:15" x14ac:dyDescent="0.2">
      <c r="A35" s="97">
        <v>31</v>
      </c>
      <c r="B35" s="98" t="s">
        <v>220</v>
      </c>
      <c r="C35" s="99" t="s">
        <v>219</v>
      </c>
      <c r="D35" s="109"/>
      <c r="E35" s="109"/>
      <c r="F35" s="109"/>
      <c r="G35" s="109"/>
      <c r="H35" s="109"/>
      <c r="I35" s="109"/>
      <c r="J35" s="110"/>
      <c r="K35" s="110"/>
      <c r="L35" s="110"/>
      <c r="M35" s="110"/>
      <c r="N35" s="110"/>
      <c r="O35" s="111"/>
    </row>
    <row r="36" spans="1:15" x14ac:dyDescent="0.2">
      <c r="A36" s="88">
        <v>32</v>
      </c>
      <c r="B36" s="89" t="s">
        <v>221</v>
      </c>
      <c r="C36" s="101"/>
      <c r="D36" s="108"/>
      <c r="E36" s="108"/>
      <c r="F36" s="108"/>
      <c r="G36" s="108"/>
      <c r="H36" s="108"/>
      <c r="I36" s="108"/>
      <c r="J36" s="91"/>
      <c r="K36" s="91"/>
      <c r="L36" s="91"/>
      <c r="M36" s="91"/>
      <c r="N36" s="91"/>
      <c r="O36" s="91"/>
    </row>
    <row r="37" spans="1:15" x14ac:dyDescent="0.2">
      <c r="A37" s="112">
        <v>33</v>
      </c>
      <c r="B37" s="113" t="s">
        <v>134</v>
      </c>
      <c r="C37" s="106"/>
      <c r="D37" s="114">
        <f>+D32-D33</f>
        <v>16982687</v>
      </c>
      <c r="E37" s="114">
        <f t="shared" ref="E37:O37" si="14">+E32-E33</f>
        <v>17784300</v>
      </c>
      <c r="F37" s="114">
        <f t="shared" si="14"/>
        <v>18366402</v>
      </c>
      <c r="G37" s="114">
        <f t="shared" si="14"/>
        <v>18097408</v>
      </c>
      <c r="H37" s="114">
        <f t="shared" si="14"/>
        <v>19359774</v>
      </c>
      <c r="I37" s="114">
        <f t="shared" si="14"/>
        <v>19288599</v>
      </c>
      <c r="J37" s="114">
        <f t="shared" si="14"/>
        <v>20894178</v>
      </c>
      <c r="K37" s="114">
        <f t="shared" si="14"/>
        <v>23264450</v>
      </c>
      <c r="L37" s="114">
        <f t="shared" si="14"/>
        <v>19725917</v>
      </c>
      <c r="M37" s="114">
        <f t="shared" si="14"/>
        <v>8353234</v>
      </c>
      <c r="N37" s="114">
        <f t="shared" si="14"/>
        <v>13230437</v>
      </c>
      <c r="O37" s="114">
        <f t="shared" si="14"/>
        <v>11479150</v>
      </c>
    </row>
    <row r="38" spans="1:15" x14ac:dyDescent="0.2">
      <c r="A38" s="88">
        <v>34</v>
      </c>
      <c r="B38" s="89" t="s">
        <v>140</v>
      </c>
      <c r="C38" s="101"/>
      <c r="D38" s="108">
        <v>926</v>
      </c>
      <c r="E38" s="108">
        <v>933</v>
      </c>
      <c r="F38" s="108">
        <v>937</v>
      </c>
      <c r="G38" s="108">
        <v>941</v>
      </c>
      <c r="H38" s="108">
        <v>945</v>
      </c>
      <c r="I38" s="108">
        <v>947</v>
      </c>
      <c r="J38" s="91">
        <v>941</v>
      </c>
      <c r="K38" s="91">
        <v>956</v>
      </c>
      <c r="L38" s="91">
        <v>961</v>
      </c>
      <c r="M38" s="91">
        <v>968</v>
      </c>
      <c r="N38" s="91">
        <v>967</v>
      </c>
      <c r="O38" s="91">
        <v>964</v>
      </c>
    </row>
    <row r="39" spans="1:15" x14ac:dyDescent="0.2">
      <c r="A39" s="112">
        <v>35</v>
      </c>
      <c r="B39" s="113" t="s">
        <v>261</v>
      </c>
      <c r="C39" s="106"/>
      <c r="D39" s="109">
        <v>9</v>
      </c>
      <c r="E39" s="109">
        <v>8</v>
      </c>
      <c r="F39" s="109">
        <v>35</v>
      </c>
      <c r="G39" s="109">
        <v>24</v>
      </c>
      <c r="H39" s="109">
        <v>69</v>
      </c>
      <c r="I39" s="109">
        <v>40</v>
      </c>
      <c r="J39" s="109" t="s">
        <v>263</v>
      </c>
      <c r="K39" s="109" t="s">
        <v>263</v>
      </c>
      <c r="L39" s="109" t="s">
        <v>263</v>
      </c>
      <c r="M39" s="109" t="s">
        <v>263</v>
      </c>
      <c r="N39" s="109" t="s">
        <v>263</v>
      </c>
      <c r="O39" s="109" t="s">
        <v>263</v>
      </c>
    </row>
    <row r="40" spans="1:15" x14ac:dyDescent="0.2">
      <c r="A40" s="88">
        <v>36</v>
      </c>
      <c r="B40" s="89" t="s">
        <v>262</v>
      </c>
      <c r="C40" s="101"/>
      <c r="D40" s="108">
        <v>2</v>
      </c>
      <c r="E40" s="108">
        <v>4</v>
      </c>
      <c r="F40" s="108">
        <v>9</v>
      </c>
      <c r="G40" s="108">
        <v>7</v>
      </c>
      <c r="H40" s="108">
        <v>6</v>
      </c>
      <c r="I40" s="108">
        <v>4</v>
      </c>
      <c r="J40" s="91">
        <v>4</v>
      </c>
      <c r="K40" s="91">
        <v>3</v>
      </c>
      <c r="L40" s="91">
        <v>10</v>
      </c>
      <c r="M40" s="91">
        <v>2</v>
      </c>
      <c r="N40" s="91">
        <v>3</v>
      </c>
      <c r="O40" s="91">
        <v>8</v>
      </c>
    </row>
    <row r="41" spans="1:15" x14ac:dyDescent="0.2">
      <c r="A41" s="79"/>
      <c r="B41" s="74"/>
      <c r="C41" s="77"/>
      <c r="D41" s="83"/>
      <c r="E41" s="83"/>
      <c r="F41" s="83"/>
      <c r="G41" s="83"/>
      <c r="H41" s="83"/>
      <c r="I41" s="83"/>
      <c r="J41" s="84"/>
      <c r="K41" s="84"/>
      <c r="L41" s="84"/>
      <c r="M41" s="84"/>
      <c r="N41" s="84"/>
      <c r="O41" s="84"/>
    </row>
    <row r="42" spans="1:15" x14ac:dyDescent="0.2">
      <c r="A42" s="97"/>
      <c r="B42" s="98"/>
      <c r="C42" s="99"/>
      <c r="D42" s="115">
        <f>+D4</f>
        <v>43101</v>
      </c>
      <c r="E42" s="115">
        <f t="shared" ref="E42:O42" si="15">+E4</f>
        <v>43132</v>
      </c>
      <c r="F42" s="115">
        <f t="shared" si="15"/>
        <v>43160</v>
      </c>
      <c r="G42" s="115">
        <f t="shared" si="15"/>
        <v>43191</v>
      </c>
      <c r="H42" s="115">
        <f t="shared" si="15"/>
        <v>43221</v>
      </c>
      <c r="I42" s="115">
        <f t="shared" si="15"/>
        <v>43252</v>
      </c>
      <c r="J42" s="115">
        <f t="shared" si="15"/>
        <v>43282</v>
      </c>
      <c r="K42" s="115">
        <f t="shared" si="15"/>
        <v>43313</v>
      </c>
      <c r="L42" s="115">
        <f t="shared" si="15"/>
        <v>43344</v>
      </c>
      <c r="M42" s="115">
        <f t="shared" si="15"/>
        <v>43374</v>
      </c>
      <c r="N42" s="115">
        <f t="shared" si="15"/>
        <v>43405</v>
      </c>
      <c r="O42" s="115">
        <f t="shared" si="15"/>
        <v>43435</v>
      </c>
    </row>
    <row r="43" spans="1:15" x14ac:dyDescent="0.2">
      <c r="A43" s="88"/>
      <c r="B43" s="89" t="s">
        <v>222</v>
      </c>
      <c r="C43" s="101"/>
      <c r="D43" s="116">
        <f t="shared" ref="D43:O44" si="16">+D14+D16+D18</f>
        <v>21685037</v>
      </c>
      <c r="E43" s="116">
        <f t="shared" si="16"/>
        <v>19306613</v>
      </c>
      <c r="F43" s="116">
        <f t="shared" si="16"/>
        <v>20439302</v>
      </c>
      <c r="G43" s="116">
        <f t="shared" si="16"/>
        <v>21043856</v>
      </c>
      <c r="H43" s="116">
        <f t="shared" si="16"/>
        <v>20855716</v>
      </c>
      <c r="I43" s="116">
        <f t="shared" si="16"/>
        <v>20174675</v>
      </c>
      <c r="J43" s="116">
        <f t="shared" si="16"/>
        <v>22696129</v>
      </c>
      <c r="K43" s="116">
        <f t="shared" si="16"/>
        <v>22611572</v>
      </c>
      <c r="L43" s="116">
        <f t="shared" si="16"/>
        <v>21614617</v>
      </c>
      <c r="M43" s="116">
        <f t="shared" si="16"/>
        <v>16672807</v>
      </c>
      <c r="N43" s="116">
        <f t="shared" si="16"/>
        <v>20760020</v>
      </c>
      <c r="O43" s="116">
        <f t="shared" si="16"/>
        <v>19346845</v>
      </c>
    </row>
    <row r="44" spans="1:15" x14ac:dyDescent="0.2">
      <c r="A44" s="97"/>
      <c r="B44" s="113" t="s">
        <v>223</v>
      </c>
      <c r="C44" s="99"/>
      <c r="D44" s="114">
        <f t="shared" si="16"/>
        <v>19503200</v>
      </c>
      <c r="E44" s="114">
        <f>+E15+E21+E19</f>
        <v>13386505</v>
      </c>
      <c r="F44" s="114">
        <f>+F15+F17+F19</f>
        <v>17872120</v>
      </c>
      <c r="G44" s="114">
        <f t="shared" si="16"/>
        <v>19150649</v>
      </c>
      <c r="H44" s="114">
        <f t="shared" si="16"/>
        <v>18299300</v>
      </c>
      <c r="I44" s="114">
        <f t="shared" si="16"/>
        <v>18216692</v>
      </c>
      <c r="J44" s="114">
        <f t="shared" si="16"/>
        <v>19696601</v>
      </c>
      <c r="K44" s="114">
        <f t="shared" si="16"/>
        <v>17839903</v>
      </c>
      <c r="L44" s="114">
        <f t="shared" si="16"/>
        <v>20891522</v>
      </c>
      <c r="M44" s="114">
        <f t="shared" si="16"/>
        <v>17748631</v>
      </c>
      <c r="N44" s="114">
        <f t="shared" si="16"/>
        <v>17023973</v>
      </c>
      <c r="O44" s="114">
        <f t="shared" si="16"/>
        <v>17485762</v>
      </c>
    </row>
    <row r="45" spans="1:15" x14ac:dyDescent="0.2">
      <c r="A45" s="88"/>
      <c r="B45" s="89"/>
      <c r="C45" s="101"/>
      <c r="D45" s="115">
        <f>+D42</f>
        <v>43101</v>
      </c>
      <c r="E45" s="115">
        <f t="shared" ref="E45:O45" si="17">+E42</f>
        <v>43132</v>
      </c>
      <c r="F45" s="115">
        <f t="shared" si="17"/>
        <v>43160</v>
      </c>
      <c r="G45" s="115">
        <f t="shared" si="17"/>
        <v>43191</v>
      </c>
      <c r="H45" s="115">
        <f t="shared" si="17"/>
        <v>43221</v>
      </c>
      <c r="I45" s="115">
        <f t="shared" si="17"/>
        <v>43252</v>
      </c>
      <c r="J45" s="115">
        <f t="shared" si="17"/>
        <v>43282</v>
      </c>
      <c r="K45" s="115">
        <f t="shared" si="17"/>
        <v>43313</v>
      </c>
      <c r="L45" s="115">
        <f t="shared" si="17"/>
        <v>43344</v>
      </c>
      <c r="M45" s="115">
        <f t="shared" si="17"/>
        <v>43374</v>
      </c>
      <c r="N45" s="115">
        <f t="shared" si="17"/>
        <v>43405</v>
      </c>
      <c r="O45" s="115">
        <f t="shared" si="17"/>
        <v>43435</v>
      </c>
    </row>
    <row r="46" spans="1:15" x14ac:dyDescent="0.2">
      <c r="A46" s="97"/>
      <c r="B46" s="113" t="s">
        <v>224</v>
      </c>
      <c r="C46" s="99"/>
      <c r="D46" s="114">
        <f t="shared" ref="D46:O47" si="18">+D20+D22+D24</f>
        <v>14979200</v>
      </c>
      <c r="E46" s="114">
        <f t="shared" si="18"/>
        <v>16982687</v>
      </c>
      <c r="F46" s="114">
        <f>+F20+F22+F24</f>
        <v>17644550</v>
      </c>
      <c r="G46" s="114">
        <f t="shared" si="18"/>
        <v>18478802</v>
      </c>
      <c r="H46" s="114">
        <f t="shared" si="18"/>
        <v>18096158</v>
      </c>
      <c r="I46" s="114">
        <f t="shared" si="18"/>
        <v>19289174</v>
      </c>
      <c r="J46" s="114">
        <f t="shared" si="18"/>
        <v>19359199</v>
      </c>
      <c r="K46" s="114">
        <f t="shared" si="18"/>
        <v>20894178</v>
      </c>
      <c r="L46" s="114">
        <f t="shared" si="18"/>
        <v>21259500</v>
      </c>
      <c r="M46" s="114">
        <f t="shared" si="18"/>
        <v>13533127</v>
      </c>
      <c r="N46" s="114">
        <f t="shared" si="18"/>
        <v>11220617</v>
      </c>
      <c r="O46" s="114">
        <f t="shared" si="18"/>
        <v>13227437</v>
      </c>
    </row>
    <row r="47" spans="1:15" x14ac:dyDescent="0.2">
      <c r="A47" s="88"/>
      <c r="B47" s="89" t="s">
        <v>225</v>
      </c>
      <c r="C47" s="101"/>
      <c r="D47" s="114">
        <f t="shared" si="18"/>
        <v>178350</v>
      </c>
      <c r="E47" s="114">
        <f t="shared" si="18"/>
        <v>1530287</v>
      </c>
      <c r="F47" s="114">
        <f t="shared" si="18"/>
        <v>1845330</v>
      </c>
      <c r="G47" s="114">
        <f t="shared" si="18"/>
        <v>2274601</v>
      </c>
      <c r="H47" s="114">
        <f t="shared" si="18"/>
        <v>1292800</v>
      </c>
      <c r="I47" s="114">
        <f t="shared" si="18"/>
        <v>1958558</v>
      </c>
      <c r="J47" s="114">
        <f t="shared" si="18"/>
        <v>1464549</v>
      </c>
      <c r="K47" s="114">
        <f t="shared" si="18"/>
        <v>2401397</v>
      </c>
      <c r="L47" s="114">
        <f t="shared" si="18"/>
        <v>2256678</v>
      </c>
      <c r="M47" s="114">
        <f t="shared" si="18"/>
        <v>4104069</v>
      </c>
      <c r="N47" s="114">
        <f t="shared" si="18"/>
        <v>1726227</v>
      </c>
      <c r="O47" s="114">
        <f t="shared" si="18"/>
        <v>3609370</v>
      </c>
    </row>
    <row r="48" spans="1:15" x14ac:dyDescent="0.2">
      <c r="A48" s="97"/>
      <c r="B48" s="113" t="s">
        <v>226</v>
      </c>
      <c r="C48" s="99"/>
      <c r="D48" s="117">
        <f t="shared" ref="D48:O48" si="19">+D44/D43</f>
        <v>0.89938513824071409</v>
      </c>
      <c r="E48" s="117">
        <f t="shared" si="19"/>
        <v>0.69336371946752129</v>
      </c>
      <c r="F48" s="117">
        <f t="shared" si="19"/>
        <v>0.87439972265197707</v>
      </c>
      <c r="G48" s="117">
        <f t="shared" si="19"/>
        <v>0.91003516655882843</v>
      </c>
      <c r="H48" s="117">
        <f t="shared" si="19"/>
        <v>0.87742372402846303</v>
      </c>
      <c r="I48" s="117">
        <f t="shared" si="19"/>
        <v>0.90294847376723542</v>
      </c>
      <c r="J48" s="117">
        <f t="shared" si="19"/>
        <v>0.86783966552181657</v>
      </c>
      <c r="K48" s="117">
        <f t="shared" si="19"/>
        <v>0.788972257214138</v>
      </c>
      <c r="L48" s="117">
        <f t="shared" si="19"/>
        <v>0.96654601837265952</v>
      </c>
      <c r="M48" s="117">
        <f t="shared" si="19"/>
        <v>1.0645256674535968</v>
      </c>
      <c r="N48" s="117">
        <f t="shared" si="19"/>
        <v>0.82003644505159434</v>
      </c>
      <c r="O48" s="117">
        <f t="shared" si="19"/>
        <v>0.90380431538062145</v>
      </c>
    </row>
    <row r="49" spans="1:15" x14ac:dyDescent="0.2">
      <c r="A49" s="88"/>
      <c r="B49" s="89" t="s">
        <v>227</v>
      </c>
      <c r="C49" s="101"/>
      <c r="D49" s="117">
        <f t="shared" ref="D49:O49" si="20">+D47/D46</f>
        <v>1.1906510361033967E-2</v>
      </c>
      <c r="E49" s="117">
        <f t="shared" si="20"/>
        <v>9.0108650062266357E-2</v>
      </c>
      <c r="F49" s="117">
        <f t="shared" si="20"/>
        <v>0.10458356829729293</v>
      </c>
      <c r="G49" s="117">
        <f t="shared" si="20"/>
        <v>0.12309244939147029</v>
      </c>
      <c r="H49" s="117">
        <f t="shared" si="20"/>
        <v>7.1440578712895858E-2</v>
      </c>
      <c r="I49" s="117">
        <f t="shared" si="20"/>
        <v>0.10153664433738842</v>
      </c>
      <c r="J49" s="117">
        <f t="shared" si="20"/>
        <v>7.5651322144061853E-2</v>
      </c>
      <c r="K49" s="117">
        <f t="shared" si="20"/>
        <v>0.11493139380740415</v>
      </c>
      <c r="L49" s="117">
        <f t="shared" si="20"/>
        <v>0.10614915684752699</v>
      </c>
      <c r="M49" s="117">
        <f t="shared" si="20"/>
        <v>0.30326095365838213</v>
      </c>
      <c r="N49" s="117">
        <f t="shared" si="20"/>
        <v>0.1538442137361965</v>
      </c>
      <c r="O49" s="117">
        <f t="shared" si="20"/>
        <v>0.27286994449491614</v>
      </c>
    </row>
    <row r="50" spans="1:15" x14ac:dyDescent="0.2">
      <c r="A50" s="80"/>
      <c r="B50" s="75"/>
      <c r="C50" s="78"/>
      <c r="D50" s="85"/>
      <c r="E50" s="86"/>
      <c r="F50" s="87"/>
      <c r="G50" s="85"/>
      <c r="H50" s="85"/>
      <c r="I50" s="85"/>
    </row>
    <row r="52" spans="1:15" x14ac:dyDescent="0.2">
      <c r="A52" s="293" t="s">
        <v>228</v>
      </c>
      <c r="B52" s="294"/>
      <c r="C52" s="95" t="s">
        <v>186</v>
      </c>
      <c r="D52" s="96">
        <v>43101</v>
      </c>
      <c r="E52" s="96">
        <v>43132</v>
      </c>
      <c r="F52" s="96">
        <v>43160</v>
      </c>
      <c r="G52" s="96">
        <v>43191</v>
      </c>
      <c r="H52" s="96">
        <v>43221</v>
      </c>
      <c r="I52" s="96">
        <v>43252</v>
      </c>
      <c r="J52" s="96">
        <v>43282</v>
      </c>
      <c r="K52" s="96">
        <v>43313</v>
      </c>
      <c r="L52" s="96">
        <v>43344</v>
      </c>
      <c r="M52" s="96">
        <v>43374</v>
      </c>
      <c r="N52" s="96">
        <v>43405</v>
      </c>
      <c r="O52" s="96">
        <v>43435</v>
      </c>
    </row>
    <row r="53" spans="1:15" x14ac:dyDescent="0.2">
      <c r="A53" s="97">
        <v>1</v>
      </c>
      <c r="B53" s="98" t="s">
        <v>229</v>
      </c>
      <c r="C53" s="99" t="s">
        <v>230</v>
      </c>
      <c r="D53" s="118">
        <f>+D6/D5</f>
        <v>0.98707753479125249</v>
      </c>
      <c r="E53" s="118">
        <f t="shared" ref="E53:J53" si="21">+E6/E5</f>
        <v>0.98709036742800393</v>
      </c>
      <c r="F53" s="118">
        <f t="shared" si="21"/>
        <v>0.98710317460317465</v>
      </c>
      <c r="G53" s="118">
        <f t="shared" si="21"/>
        <v>0.98710317460317465</v>
      </c>
      <c r="H53" s="118">
        <f t="shared" si="21"/>
        <v>0.98710317460317465</v>
      </c>
      <c r="I53" s="118">
        <f t="shared" si="21"/>
        <v>0.98712871287128712</v>
      </c>
      <c r="J53" s="118">
        <f t="shared" si="21"/>
        <v>0.98715415019762842</v>
      </c>
      <c r="K53" s="118">
        <f>+K6/K5</f>
        <v>0.98725490196078436</v>
      </c>
      <c r="L53" s="118">
        <f t="shared" ref="L53:O53" si="22">+L6/L5</f>
        <v>0.98727984344422703</v>
      </c>
      <c r="M53" s="118">
        <f t="shared" si="22"/>
        <v>0.98729227761485827</v>
      </c>
      <c r="N53" s="118">
        <f t="shared" si="22"/>
        <v>0.9873170731707317</v>
      </c>
      <c r="O53" s="118">
        <f t="shared" si="22"/>
        <v>0.98734177215189878</v>
      </c>
    </row>
    <row r="54" spans="1:15" x14ac:dyDescent="0.2">
      <c r="A54" s="88">
        <v>2</v>
      </c>
      <c r="B54" s="89" t="s">
        <v>231</v>
      </c>
      <c r="C54" s="101" t="s">
        <v>230</v>
      </c>
      <c r="D54" s="118">
        <f>+D7/D5</f>
        <v>1.0218687872763419</v>
      </c>
      <c r="E54" s="118">
        <f t="shared" ref="E54:J54" si="23">+E7/E5</f>
        <v>1.0208540218470705</v>
      </c>
      <c r="F54" s="118">
        <f t="shared" si="23"/>
        <v>1.0208333333333333</v>
      </c>
      <c r="G54" s="118">
        <f t="shared" si="23"/>
        <v>1.0218253968253967</v>
      </c>
      <c r="H54" s="118">
        <f t="shared" si="23"/>
        <v>1.0218253968253967</v>
      </c>
      <c r="I54" s="118">
        <f t="shared" si="23"/>
        <v>1.0217821782178218</v>
      </c>
      <c r="J54" s="118">
        <f t="shared" si="23"/>
        <v>1.0217391304347827</v>
      </c>
      <c r="K54" s="118">
        <f>+K7/K5</f>
        <v>1.0215686274509803</v>
      </c>
      <c r="L54" s="118">
        <f t="shared" ref="L54:O54" si="24">+L7/L5</f>
        <v>1.0215264187866928</v>
      </c>
      <c r="M54" s="118">
        <f t="shared" si="24"/>
        <v>1.021505376344086</v>
      </c>
      <c r="N54" s="118">
        <f t="shared" si="24"/>
        <v>1.0224390243902439</v>
      </c>
      <c r="O54" s="118">
        <f t="shared" si="24"/>
        <v>1.0223953261927945</v>
      </c>
    </row>
    <row r="55" spans="1:15" x14ac:dyDescent="0.2">
      <c r="A55" s="97">
        <v>3</v>
      </c>
      <c r="B55" s="98" t="s">
        <v>232</v>
      </c>
      <c r="C55" s="99" t="s">
        <v>230</v>
      </c>
      <c r="D55" s="118">
        <f>IF((D5&gt;0),D8/D5,"0")</f>
        <v>1.0427435387673956</v>
      </c>
      <c r="E55" s="118">
        <f t="shared" ref="E55:O55" si="25">IF((E5&gt;0),E8/E5,"0")</f>
        <v>1.0427010923535254</v>
      </c>
      <c r="F55" s="118">
        <f t="shared" si="25"/>
        <v>1.0426587301587302</v>
      </c>
      <c r="G55" s="118">
        <f t="shared" si="25"/>
        <v>1.0436507936507937</v>
      </c>
      <c r="H55" s="118">
        <f t="shared" si="25"/>
        <v>1.0436507936507937</v>
      </c>
      <c r="I55" s="118">
        <f t="shared" si="25"/>
        <v>1.0435643564356436</v>
      </c>
      <c r="J55" s="118">
        <f t="shared" si="25"/>
        <v>1.0424901185770752</v>
      </c>
      <c r="K55" s="118">
        <f t="shared" si="25"/>
        <v>1.0421568627450981</v>
      </c>
      <c r="L55" s="118">
        <f t="shared" si="25"/>
        <v>1.0420743639921721</v>
      </c>
      <c r="M55" s="118">
        <f t="shared" si="25"/>
        <v>0.99217986314760509</v>
      </c>
      <c r="N55" s="118">
        <f t="shared" si="25"/>
        <v>0.9590243902439024</v>
      </c>
      <c r="O55" s="118">
        <f t="shared" si="25"/>
        <v>0.95910418695228827</v>
      </c>
    </row>
    <row r="56" spans="1:15" ht="26.25" customHeight="1" x14ac:dyDescent="0.2">
      <c r="A56" s="88">
        <v>4</v>
      </c>
      <c r="B56" s="89" t="s">
        <v>233</v>
      </c>
      <c r="C56" s="90" t="s">
        <v>234</v>
      </c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</row>
    <row r="57" spans="1:15" x14ac:dyDescent="0.2">
      <c r="A57" s="97">
        <v>5</v>
      </c>
      <c r="B57" s="98" t="s">
        <v>235</v>
      </c>
      <c r="C57" s="99" t="s">
        <v>230</v>
      </c>
      <c r="D57" s="119">
        <f>+ROUND((D9-D10)/D9,4)</f>
        <v>0.48330000000000001</v>
      </c>
      <c r="E57" s="119">
        <f t="shared" ref="E57:J57" si="26">+ROUND((E9-E10)/E9,4)</f>
        <v>0.54520000000000002</v>
      </c>
      <c r="F57" s="119">
        <f t="shared" si="26"/>
        <v>0.5393</v>
      </c>
      <c r="G57" s="119">
        <f t="shared" si="26"/>
        <v>0.50349999999999995</v>
      </c>
      <c r="H57" s="119">
        <f t="shared" si="26"/>
        <v>0.49440000000000001</v>
      </c>
      <c r="I57" s="119">
        <f t="shared" si="26"/>
        <v>0.51060000000000005</v>
      </c>
      <c r="J57" s="119">
        <f t="shared" si="26"/>
        <v>0.435</v>
      </c>
      <c r="K57" s="119">
        <f>+ROUND((K9-K10)/K9,4)</f>
        <v>0.48180000000000001</v>
      </c>
      <c r="L57" s="119">
        <f t="shared" ref="L57:O57" si="27">+ROUND((L9-L10)/L9,4)</f>
        <v>0.48930000000000001</v>
      </c>
      <c r="M57" s="119">
        <f t="shared" si="27"/>
        <v>0.49</v>
      </c>
      <c r="N57" s="119">
        <f t="shared" si="27"/>
        <v>0.38779999999999998</v>
      </c>
      <c r="O57" s="119">
        <f t="shared" si="27"/>
        <v>0.46729999999999999</v>
      </c>
    </row>
    <row r="58" spans="1:15" x14ac:dyDescent="0.2">
      <c r="A58" s="88">
        <v>6</v>
      </c>
      <c r="B58" s="89" t="s">
        <v>236</v>
      </c>
      <c r="C58" s="101" t="s">
        <v>230</v>
      </c>
      <c r="D58" s="120">
        <f>+D15/D14</f>
        <v>0.90512384686938074</v>
      </c>
      <c r="E58" s="120">
        <f t="shared" ref="E58:J58" si="28">+E15/E14</f>
        <v>0.87324799159545385</v>
      </c>
      <c r="F58" s="120">
        <f t="shared" si="28"/>
        <v>0.86335502951833287</v>
      </c>
      <c r="G58" s="120">
        <f t="shared" si="28"/>
        <v>0.91759039078606763</v>
      </c>
      <c r="H58" s="120">
        <f t="shared" si="28"/>
        <v>0.87196656721388199</v>
      </c>
      <c r="I58" s="120">
        <f t="shared" si="28"/>
        <v>0.90487161000033334</v>
      </c>
      <c r="J58" s="120">
        <f t="shared" si="28"/>
        <v>0.87004770414763333</v>
      </c>
      <c r="K58" s="120">
        <f>+K15/K14</f>
        <v>0.78919888139129191</v>
      </c>
      <c r="L58" s="120">
        <f t="shared" ref="L58:O58" si="29">+L15/L14</f>
        <v>0.96684103966752011</v>
      </c>
      <c r="M58" s="120">
        <f t="shared" si="29"/>
        <v>0.75741550561035964</v>
      </c>
      <c r="N58" s="120">
        <f t="shared" si="29"/>
        <v>0.81239272033958398</v>
      </c>
      <c r="O58" s="120">
        <f t="shared" si="29"/>
        <v>0.90516291503941426</v>
      </c>
    </row>
    <row r="59" spans="1:15" x14ac:dyDescent="0.2">
      <c r="A59" s="97">
        <v>7</v>
      </c>
      <c r="B59" s="98" t="s">
        <v>237</v>
      </c>
      <c r="C59" s="106" t="s">
        <v>230</v>
      </c>
      <c r="D59" s="120">
        <f>+D17/D16</f>
        <v>0.90046377308609038</v>
      </c>
      <c r="E59" s="120">
        <f>+E21/E16</f>
        <v>0.11581593489314962</v>
      </c>
      <c r="F59" s="120">
        <f t="shared" ref="F59:J59" si="30">+F17/F16</f>
        <v>0.88436578015211686</v>
      </c>
      <c r="G59" s="120">
        <f t="shared" si="30"/>
        <v>0.9213449988991671</v>
      </c>
      <c r="H59" s="120">
        <f t="shared" si="30"/>
        <v>0.89415234709474223</v>
      </c>
      <c r="I59" s="120">
        <f t="shared" si="30"/>
        <v>0.91274505333263301</v>
      </c>
      <c r="J59" s="120">
        <f t="shared" si="30"/>
        <v>0.87372007364757509</v>
      </c>
      <c r="K59" s="120">
        <f>+K17/K16</f>
        <v>0.7826964011186871</v>
      </c>
      <c r="L59" s="120">
        <f t="shared" ref="L59:O59" si="31">+L17/L16</f>
        <v>0.99755446884513777</v>
      </c>
      <c r="M59" s="120">
        <f t="shared" si="31"/>
        <v>0.90345372043910543</v>
      </c>
      <c r="N59" s="120">
        <f t="shared" si="31"/>
        <v>0.80442903246175279</v>
      </c>
      <c r="O59" s="120">
        <f t="shared" si="31"/>
        <v>0.8917497391200595</v>
      </c>
    </row>
    <row r="60" spans="1:15" s="73" customFormat="1" x14ac:dyDescent="0.2">
      <c r="A60" s="88">
        <v>8</v>
      </c>
      <c r="B60" s="89" t="s">
        <v>238</v>
      </c>
      <c r="C60" s="101" t="s">
        <v>230</v>
      </c>
      <c r="D60" s="120">
        <f>+D19/D18</f>
        <v>0.89207510933072576</v>
      </c>
      <c r="E60" s="120">
        <f t="shared" ref="E60:J60" si="32">+E19/E18</f>
        <v>0.88662204512833531</v>
      </c>
      <c r="F60" s="120">
        <f t="shared" si="32"/>
        <v>0.878954172338272</v>
      </c>
      <c r="G60" s="120">
        <f t="shared" si="32"/>
        <v>0.89306903433198226</v>
      </c>
      <c r="H60" s="120">
        <f t="shared" si="32"/>
        <v>0.87101540447073966</v>
      </c>
      <c r="I60" s="120">
        <f t="shared" si="32"/>
        <v>0.89403637316541895</v>
      </c>
      <c r="J60" s="120">
        <f t="shared" si="32"/>
        <v>0.86004003729203304</v>
      </c>
      <c r="K60" s="120">
        <f>+K19/K18</f>
        <v>0.79398010907526306</v>
      </c>
      <c r="L60" s="120">
        <f t="shared" ref="L60:O60" si="33">+L19/L18</f>
        <v>0.94207960442676064</v>
      </c>
      <c r="M60" s="120">
        <f t="shared" si="33"/>
        <v>2.2698126437771409</v>
      </c>
      <c r="N60" s="120">
        <f t="shared" si="33"/>
        <v>0.84194396985026176</v>
      </c>
      <c r="O60" s="120">
        <f t="shared" si="33"/>
        <v>0.91125159720547533</v>
      </c>
    </row>
    <row r="61" spans="1:15" x14ac:dyDescent="0.2">
      <c r="A61" s="112">
        <v>9</v>
      </c>
      <c r="B61" s="113" t="s">
        <v>239</v>
      </c>
      <c r="C61" s="106" t="s">
        <v>230</v>
      </c>
      <c r="D61" s="120">
        <f>+D21/D20</f>
        <v>4.3149109836633998E-3</v>
      </c>
      <c r="E61" s="120">
        <f t="shared" ref="E61:H61" si="34">+E21/E20</f>
        <v>9.4279444881545896E-2</v>
      </c>
      <c r="F61" s="120">
        <f t="shared" si="34"/>
        <v>9.7022136006150159E-2</v>
      </c>
      <c r="G61" s="120">
        <f t="shared" si="34"/>
        <v>0.14595488324049671</v>
      </c>
      <c r="H61" s="120">
        <f t="shared" si="34"/>
        <v>7.5849096170581221E-2</v>
      </c>
      <c r="I61" s="120">
        <f t="shared" ref="I61:J61" si="35">+I21/I20</f>
        <v>0.10864300570845849</v>
      </c>
      <c r="J61" s="120">
        <f t="shared" si="35"/>
        <v>6.513935552553593E-2</v>
      </c>
      <c r="K61" s="120">
        <f>+K21/K20</f>
        <v>0.11676344623143538</v>
      </c>
      <c r="L61" s="120">
        <f t="shared" ref="L61:O61" si="36">+L21/L20</f>
        <v>0.11981975689332149</v>
      </c>
      <c r="M61" s="120">
        <f t="shared" si="36"/>
        <v>0.25353781996125635</v>
      </c>
      <c r="N61" s="120">
        <f t="shared" si="36"/>
        <v>0.10305497651859277</v>
      </c>
      <c r="O61" s="120">
        <f t="shared" si="36"/>
        <v>0.2037350087667055</v>
      </c>
    </row>
    <row r="62" spans="1:15" s="73" customFormat="1" x14ac:dyDescent="0.2">
      <c r="A62" s="88">
        <v>10</v>
      </c>
      <c r="B62" s="89" t="s">
        <v>240</v>
      </c>
      <c r="C62" s="101" t="s">
        <v>230</v>
      </c>
      <c r="D62" s="120">
        <f>+D23/D22</f>
        <v>1.3601017653181068E-2</v>
      </c>
      <c r="E62" s="120">
        <f t="shared" ref="E62:J62" si="37">+E23/E22</f>
        <v>0.13233841402251026</v>
      </c>
      <c r="F62" s="120">
        <f t="shared" si="37"/>
        <v>0.14214521730073287</v>
      </c>
      <c r="G62" s="120">
        <f t="shared" si="37"/>
        <v>0.15721623904550733</v>
      </c>
      <c r="H62" s="120">
        <f t="shared" si="37"/>
        <v>9.3298086622789003E-2</v>
      </c>
      <c r="I62" s="120">
        <f t="shared" si="37"/>
        <v>0.12089590942340764</v>
      </c>
      <c r="J62" s="120">
        <f t="shared" si="37"/>
        <v>9.5281889523408783E-2</v>
      </c>
      <c r="K62" s="120">
        <f>+K23/K22</f>
        <v>0.16579061825333485</v>
      </c>
      <c r="L62" s="120">
        <f t="shared" ref="L62:O62" si="38">+L23/L22</f>
        <v>0.140901450644174</v>
      </c>
      <c r="M62" s="120">
        <f t="shared" si="38"/>
        <v>0.12197044145486584</v>
      </c>
      <c r="N62" s="120">
        <f t="shared" si="38"/>
        <v>0.11974372385691671</v>
      </c>
      <c r="O62" s="120">
        <f t="shared" si="38"/>
        <v>0.25766940756411116</v>
      </c>
    </row>
    <row r="63" spans="1:15" x14ac:dyDescent="0.2">
      <c r="A63" s="112">
        <v>11</v>
      </c>
      <c r="B63" s="113" t="s">
        <v>241</v>
      </c>
      <c r="C63" s="106" t="s">
        <v>230</v>
      </c>
      <c r="D63" s="120">
        <f>+D25/D24</f>
        <v>1.6645482489835755E-2</v>
      </c>
      <c r="E63" s="120">
        <f t="shared" ref="E63:J63" si="39">+E25/E24</f>
        <v>6.7372406937504903E-2</v>
      </c>
      <c r="F63" s="120">
        <f t="shared" si="39"/>
        <v>9.2978523154766637E-2</v>
      </c>
      <c r="G63" s="120">
        <f t="shared" si="39"/>
        <v>8.9198819957636691E-2</v>
      </c>
      <c r="H63" s="120">
        <f t="shared" si="39"/>
        <v>5.8424343480497756E-2</v>
      </c>
      <c r="I63" s="120">
        <f t="shared" si="39"/>
        <v>8.5674177404069629E-2</v>
      </c>
      <c r="J63" s="120">
        <f t="shared" si="39"/>
        <v>7.5747243037416145E-2</v>
      </c>
      <c r="K63" s="120">
        <f>+K25/K24</f>
        <v>8.9625823107199479E-2</v>
      </c>
      <c r="L63" s="120">
        <f t="shared" ref="L63:O63" si="40">+L25/L24</f>
        <v>7.9067762626884461E-2</v>
      </c>
      <c r="M63" s="120">
        <f t="shared" si="40"/>
        <v>1.136648143559976</v>
      </c>
      <c r="N63" s="120">
        <f t="shared" si="40"/>
        <v>0.47325406952994803</v>
      </c>
      <c r="O63" s="120">
        <f t="shared" si="40"/>
        <v>0.57440904115262859</v>
      </c>
    </row>
    <row r="64" spans="1:15" s="73" customFormat="1" x14ac:dyDescent="0.2">
      <c r="A64" s="88">
        <v>12</v>
      </c>
      <c r="B64" s="89" t="s">
        <v>242</v>
      </c>
      <c r="C64" s="101" t="s">
        <v>230</v>
      </c>
      <c r="D64" s="120">
        <f t="shared" ref="D64:O64" si="41">+D27/D26</f>
        <v>0.56593598756106966</v>
      </c>
      <c r="E64" s="120">
        <f t="shared" si="41"/>
        <v>0.5255235882978575</v>
      </c>
      <c r="F64" s="120">
        <f t="shared" si="41"/>
        <v>0.50809951765670314</v>
      </c>
      <c r="G64" s="120">
        <f t="shared" si="41"/>
        <v>0.57375777196474032</v>
      </c>
      <c r="H64" s="120">
        <f t="shared" si="41"/>
        <v>0.52583976595918402</v>
      </c>
      <c r="I64" s="120">
        <f t="shared" si="41"/>
        <v>0.51317601625799436</v>
      </c>
      <c r="J64" s="120">
        <f t="shared" si="41"/>
        <v>0.50758964027948195</v>
      </c>
      <c r="K64" s="120">
        <f t="shared" si="41"/>
        <v>0.48571827230334408</v>
      </c>
      <c r="L64" s="120">
        <f t="shared" si="41"/>
        <v>0.56478166013437303</v>
      </c>
      <c r="M64" s="120">
        <f t="shared" si="41"/>
        <v>0.51299881187970142</v>
      </c>
      <c r="N64" s="120">
        <f t="shared" si="41"/>
        <v>0.49905402276058403</v>
      </c>
      <c r="O64" s="120">
        <f t="shared" si="41"/>
        <v>0.55684497030973978</v>
      </c>
    </row>
    <row r="65" spans="1:15" x14ac:dyDescent="0.2">
      <c r="A65" s="112">
        <v>13</v>
      </c>
      <c r="B65" s="113" t="s">
        <v>243</v>
      </c>
      <c r="C65" s="106" t="s">
        <v>230</v>
      </c>
      <c r="D65" s="120">
        <f t="shared" ref="D65:O65" si="42">+D29/D28</f>
        <v>0.60444453220417793</v>
      </c>
      <c r="E65" s="120">
        <f t="shared" si="42"/>
        <v>0.55731219793479747</v>
      </c>
      <c r="F65" s="120">
        <f t="shared" si="42"/>
        <v>0.58360504585503092</v>
      </c>
      <c r="G65" s="120">
        <f t="shared" si="42"/>
        <v>0.61360985738831597</v>
      </c>
      <c r="H65" s="120">
        <f t="shared" si="42"/>
        <v>0.5726375450744442</v>
      </c>
      <c r="I65" s="120">
        <f t="shared" si="42"/>
        <v>0.57449578977046156</v>
      </c>
      <c r="J65" s="120">
        <f t="shared" si="42"/>
        <v>0.5801434535521357</v>
      </c>
      <c r="K65" s="120">
        <f t="shared" si="42"/>
        <v>0.53042900643510127</v>
      </c>
      <c r="L65" s="120">
        <f t="shared" si="42"/>
        <v>0.6319877169224517</v>
      </c>
      <c r="M65" s="120">
        <f t="shared" si="42"/>
        <v>0.56094252057137528</v>
      </c>
      <c r="N65" s="120">
        <f t="shared" si="42"/>
        <v>0.54776626527184236</v>
      </c>
      <c r="O65" s="120">
        <f t="shared" si="42"/>
        <v>0.60657418833012156</v>
      </c>
    </row>
    <row r="66" spans="1:15" s="73" customFormat="1" x14ac:dyDescent="0.2">
      <c r="A66" s="88">
        <v>14</v>
      </c>
      <c r="B66" s="89" t="s">
        <v>244</v>
      </c>
      <c r="C66" s="101" t="s">
        <v>230</v>
      </c>
      <c r="D66" s="120">
        <f t="shared" ref="D66:O66" si="43">+D31/D30</f>
        <v>0.46761071211947697</v>
      </c>
      <c r="E66" s="120">
        <f t="shared" si="43"/>
        <v>0.47048166315536305</v>
      </c>
      <c r="F66" s="120">
        <f t="shared" si="43"/>
        <v>0.48720264088836346</v>
      </c>
      <c r="G66" s="120">
        <f t="shared" si="43"/>
        <v>0.46911599612725241</v>
      </c>
      <c r="H66" s="120">
        <f t="shared" si="43"/>
        <v>0.44134065119838817</v>
      </c>
      <c r="I66" s="120">
        <f t="shared" si="43"/>
        <v>0.4720529167330127</v>
      </c>
      <c r="J66" s="120">
        <f t="shared" si="43"/>
        <v>0.44755283051166644</v>
      </c>
      <c r="K66" s="120">
        <f t="shared" si="43"/>
        <v>0.40378575854938337</v>
      </c>
      <c r="L66" s="120">
        <f t="shared" si="43"/>
        <v>0.46087203913254959</v>
      </c>
      <c r="M66" s="120">
        <f t="shared" si="43"/>
        <v>1.8938490029393356</v>
      </c>
      <c r="N66" s="120">
        <f t="shared" si="43"/>
        <v>0.78058313011140701</v>
      </c>
      <c r="O66" s="120">
        <f t="shared" si="43"/>
        <v>0.8401301338591084</v>
      </c>
    </row>
    <row r="67" spans="1:15" s="73" customFormat="1" x14ac:dyDescent="0.2">
      <c r="A67" s="112">
        <v>15</v>
      </c>
      <c r="B67" s="113" t="s">
        <v>245</v>
      </c>
      <c r="C67" s="121" t="s">
        <v>230</v>
      </c>
      <c r="D67" s="120">
        <f t="shared" ref="D67:O67" si="44">+D33/D32</f>
        <v>0.53680511611355775</v>
      </c>
      <c r="E67" s="120">
        <f t="shared" si="44"/>
        <v>0.50992992424764327</v>
      </c>
      <c r="F67" s="120">
        <f t="shared" si="44"/>
        <v>0.51773780656431501</v>
      </c>
      <c r="G67" s="120">
        <f t="shared" si="44"/>
        <v>0.5421004326176645</v>
      </c>
      <c r="H67" s="120">
        <f t="shared" si="44"/>
        <v>0.50298221851919112</v>
      </c>
      <c r="I67" s="120">
        <f t="shared" si="44"/>
        <v>0.51123371164328146</v>
      </c>
      <c r="J67" s="120">
        <f t="shared" si="44"/>
        <v>0.50317405680440774</v>
      </c>
      <c r="K67" s="120">
        <f t="shared" si="44"/>
        <v>0.46525574205708442</v>
      </c>
      <c r="L67" s="120">
        <f t="shared" si="44"/>
        <v>0.5399108277845116</v>
      </c>
      <c r="M67" s="120">
        <f t="shared" si="44"/>
        <v>0.72345718559803518</v>
      </c>
      <c r="N67" s="120">
        <f>+N33/N32</f>
        <v>0.58629851556740409</v>
      </c>
      <c r="O67" s="120">
        <f t="shared" si="44"/>
        <v>0.64760082816253628</v>
      </c>
    </row>
    <row r="68" spans="1:15" hidden="1" x14ac:dyDescent="0.2">
      <c r="A68" s="88">
        <v>16</v>
      </c>
      <c r="B68" s="89" t="s">
        <v>246</v>
      </c>
      <c r="C68" s="101" t="s">
        <v>230</v>
      </c>
      <c r="D68" s="122">
        <f t="shared" ref="D68" si="45">+D13/D10</f>
        <v>0</v>
      </c>
      <c r="E68" s="122">
        <f t="shared" ref="E68:O68" si="46">+E13/E10</f>
        <v>0</v>
      </c>
      <c r="F68" s="122">
        <f t="shared" si="46"/>
        <v>0</v>
      </c>
      <c r="G68" s="122">
        <f t="shared" si="46"/>
        <v>0</v>
      </c>
      <c r="H68" s="122">
        <f t="shared" si="46"/>
        <v>0</v>
      </c>
      <c r="I68" s="122">
        <f t="shared" si="46"/>
        <v>0</v>
      </c>
      <c r="J68" s="122">
        <f t="shared" si="46"/>
        <v>0</v>
      </c>
      <c r="K68" s="122">
        <f t="shared" si="46"/>
        <v>0</v>
      </c>
      <c r="L68" s="122">
        <f t="shared" si="46"/>
        <v>0</v>
      </c>
      <c r="M68" s="122">
        <f t="shared" si="46"/>
        <v>0</v>
      </c>
      <c r="N68" s="122">
        <f t="shared" si="46"/>
        <v>0</v>
      </c>
      <c r="O68" s="122">
        <f t="shared" si="46"/>
        <v>0</v>
      </c>
    </row>
    <row r="69" spans="1:15" s="73" customFormat="1" hidden="1" x14ac:dyDescent="0.2">
      <c r="A69" s="112">
        <v>17</v>
      </c>
      <c r="B69" s="113" t="s">
        <v>247</v>
      </c>
      <c r="C69" s="106" t="s">
        <v>230</v>
      </c>
      <c r="D69" s="123">
        <f t="shared" ref="D69" si="47">+D11-D12-D13</f>
        <v>12229</v>
      </c>
      <c r="E69" s="123">
        <f t="shared" ref="E69:O69" si="48">+E11-E12-E13</f>
        <v>9433</v>
      </c>
      <c r="F69" s="123">
        <f t="shared" si="48"/>
        <v>10430</v>
      </c>
      <c r="G69" s="123">
        <f t="shared" si="48"/>
        <v>11115</v>
      </c>
      <c r="H69" s="123">
        <f t="shared" si="48"/>
        <v>10760</v>
      </c>
      <c r="I69" s="123">
        <f t="shared" si="48"/>
        <v>10275</v>
      </c>
      <c r="J69" s="123">
        <f t="shared" si="48"/>
        <v>13001</v>
      </c>
      <c r="K69" s="123">
        <f t="shared" si="48"/>
        <v>12193</v>
      </c>
      <c r="L69" s="123">
        <f t="shared" si="48"/>
        <v>11352</v>
      </c>
      <c r="M69" s="123">
        <f t="shared" si="48"/>
        <v>11004</v>
      </c>
      <c r="N69" s="123">
        <f t="shared" si="48"/>
        <v>11481</v>
      </c>
      <c r="O69" s="123">
        <f t="shared" si="48"/>
        <v>10003</v>
      </c>
    </row>
    <row r="71" spans="1:15" ht="18" x14ac:dyDescent="0.25">
      <c r="B71" s="287" t="s">
        <v>248</v>
      </c>
      <c r="C71" s="287"/>
      <c r="D71" s="288"/>
      <c r="E71" s="288"/>
      <c r="F71" s="288"/>
      <c r="G71" s="288"/>
      <c r="H71" s="288"/>
      <c r="I71" s="288"/>
    </row>
    <row r="87" spans="2:3" x14ac:dyDescent="0.2">
      <c r="B87" s="288" t="s">
        <v>249</v>
      </c>
      <c r="C87" s="288"/>
    </row>
    <row r="94" spans="2:3" ht="14.25" customHeight="1" x14ac:dyDescent="0.2"/>
  </sheetData>
  <sheetProtection password="9F06" sheet="1" objects="1" scenarios="1"/>
  <mergeCells count="10">
    <mergeCell ref="B71:C71"/>
    <mergeCell ref="D71:I71"/>
    <mergeCell ref="B87:C87"/>
    <mergeCell ref="A1:I1"/>
    <mergeCell ref="A2:B2"/>
    <mergeCell ref="C2:D2"/>
    <mergeCell ref="A4:B4"/>
    <mergeCell ref="A52:B52"/>
    <mergeCell ref="E2:F2"/>
    <mergeCell ref="G2:K2"/>
  </mergeCells>
  <printOptions horizontalCentered="1"/>
  <pageMargins left="0" right="0" top="1.3779527559055118" bottom="0.39370078740157483" header="0.55118110236220474" footer="0.19685039370078741"/>
  <pageSetup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62"/>
  <sheetViews>
    <sheetView topLeftCell="A34" zoomScaleNormal="100" zoomScaleSheetLayoutView="72" workbookViewId="0">
      <selection activeCell="A41" sqref="A41:M41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3" width="9.42578125" style="3" customWidth="1"/>
    <col min="4" max="4" width="8.85546875" style="3" customWidth="1"/>
    <col min="5" max="5" width="9" style="3" customWidth="1"/>
    <col min="6" max="6" width="9.28515625" style="3" customWidth="1"/>
    <col min="7" max="8" width="8.85546875" style="3" customWidth="1"/>
    <col min="9" max="10" width="9" style="3" customWidth="1"/>
    <col min="11" max="11" width="7.7109375" style="3" customWidth="1"/>
    <col min="12" max="12" width="8.28515625" style="3" customWidth="1"/>
    <col min="13" max="14" width="7.7109375" style="3" customWidth="1"/>
    <col min="15" max="15" width="9.5703125" style="3" customWidth="1"/>
    <col min="16" max="16" width="6.5703125" style="3" customWidth="1"/>
    <col min="17" max="17" width="16" style="3" hidden="1" customWidth="1"/>
    <col min="18" max="18" width="6.5703125" style="3" hidden="1" customWidth="1"/>
    <col min="19" max="19" width="6.570312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5.5" customHeight="1" x14ac:dyDescent="0.25">
      <c r="A1" s="175"/>
      <c r="B1" s="176"/>
      <c r="C1" s="177"/>
      <c r="D1" s="171" t="s">
        <v>20</v>
      </c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2"/>
    </row>
    <row r="2" spans="1:24" ht="15.75" customHeight="1" thickBot="1" x14ac:dyDescent="0.3">
      <c r="A2" s="178"/>
      <c r="B2" s="179"/>
      <c r="C2" s="180"/>
      <c r="D2" s="173" t="s">
        <v>67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4"/>
    </row>
    <row r="3" spans="1:24" ht="13.5" customHeight="1" x14ac:dyDescent="0.25">
      <c r="A3" s="181" t="s">
        <v>0</v>
      </c>
      <c r="B3" s="182"/>
      <c r="C3" s="182"/>
      <c r="D3" s="182"/>
      <c r="E3" s="182"/>
      <c r="F3" s="182" t="str">
        <f>'SET SP Sta.Mría'!J3</f>
        <v>GESTIÓN DE SERVICIOS PÚBLICOS - SANTA MARÍA</v>
      </c>
      <c r="G3" s="182"/>
      <c r="H3" s="182"/>
      <c r="I3" s="182"/>
      <c r="J3" s="182"/>
      <c r="K3" s="182"/>
      <c r="L3" s="182"/>
      <c r="M3" s="182"/>
      <c r="N3" s="182"/>
      <c r="O3" s="183"/>
    </row>
    <row r="4" spans="1:24" ht="15.75" customHeight="1" x14ac:dyDescent="0.25">
      <c r="A4" s="184" t="s">
        <v>1</v>
      </c>
      <c r="B4" s="185"/>
      <c r="C4" s="185"/>
      <c r="D4" s="185"/>
      <c r="E4" s="185"/>
      <c r="F4" s="186" t="str">
        <f>'SET SP Sta.Mría'!$B6</f>
        <v>Eficiencia de Recaudo  Corriente</v>
      </c>
      <c r="G4" s="186"/>
      <c r="H4" s="187"/>
      <c r="I4" s="186"/>
      <c r="J4" s="186"/>
      <c r="K4" s="187"/>
      <c r="L4" s="186"/>
      <c r="M4" s="186"/>
      <c r="N4" s="186"/>
      <c r="O4" s="188"/>
    </row>
    <row r="5" spans="1:24" ht="15.75" customHeight="1" x14ac:dyDescent="0.25">
      <c r="A5" s="184" t="s">
        <v>55</v>
      </c>
      <c r="B5" s="185"/>
      <c r="C5" s="185"/>
      <c r="D5" s="185"/>
      <c r="E5" s="185"/>
      <c r="F5" s="203" t="str">
        <f>'SET SP Sta.Mría'!F6</f>
        <v xml:space="preserve">Eficiencia </v>
      </c>
      <c r="G5" s="204"/>
      <c r="H5" s="204"/>
      <c r="I5" s="204"/>
      <c r="J5" s="204"/>
      <c r="K5" s="204"/>
      <c r="L5" s="204"/>
      <c r="M5" s="204"/>
      <c r="N5" s="204"/>
      <c r="O5" s="205"/>
    </row>
    <row r="6" spans="1:24" ht="17.25" customHeight="1" thickBot="1" x14ac:dyDescent="0.3">
      <c r="A6" s="189" t="s">
        <v>21</v>
      </c>
      <c r="B6" s="190"/>
      <c r="C6" s="190"/>
      <c r="D6" s="190"/>
      <c r="E6" s="190"/>
      <c r="F6" s="26" t="s">
        <v>94</v>
      </c>
      <c r="G6" s="191" t="str">
        <f>'SET SP Sta.Mría'!A6</f>
        <v>IN01</v>
      </c>
      <c r="H6" s="192"/>
      <c r="I6" s="191"/>
      <c r="J6" s="191"/>
      <c r="K6" s="192"/>
      <c r="L6" s="191"/>
      <c r="M6" s="191"/>
      <c r="N6" s="191"/>
      <c r="O6" s="193"/>
    </row>
    <row r="7" spans="1:24" ht="12.75" customHeight="1" x14ac:dyDescent="0.25">
      <c r="A7" s="194" t="s">
        <v>22</v>
      </c>
      <c r="B7" s="195"/>
      <c r="C7" s="195"/>
      <c r="D7" s="195"/>
      <c r="E7" s="198" t="s">
        <v>23</v>
      </c>
      <c r="F7" s="198" t="s">
        <v>24</v>
      </c>
      <c r="G7" s="198"/>
      <c r="H7" s="198" t="s">
        <v>25</v>
      </c>
      <c r="I7" s="198" t="s">
        <v>26</v>
      </c>
      <c r="J7" s="198" t="s">
        <v>27</v>
      </c>
      <c r="K7" s="198"/>
      <c r="L7" s="200" t="s">
        <v>28</v>
      </c>
      <c r="M7" s="200"/>
      <c r="N7" s="200"/>
      <c r="O7" s="201"/>
    </row>
    <row r="8" spans="1:24" ht="46.5" customHeight="1" x14ac:dyDescent="0.25">
      <c r="A8" s="196"/>
      <c r="B8" s="197"/>
      <c r="C8" s="197"/>
      <c r="D8" s="197"/>
      <c r="E8" s="199"/>
      <c r="F8" s="199"/>
      <c r="G8" s="199"/>
      <c r="H8" s="199"/>
      <c r="I8" s="199"/>
      <c r="J8" s="199"/>
      <c r="K8" s="199"/>
      <c r="L8" s="197" t="s">
        <v>29</v>
      </c>
      <c r="M8" s="197"/>
      <c r="N8" s="197" t="s">
        <v>30</v>
      </c>
      <c r="O8" s="202"/>
    </row>
    <row r="9" spans="1:24" ht="56.25" customHeight="1" thickBot="1" x14ac:dyDescent="0.3">
      <c r="A9" s="210" t="str">
        <f>'SET SP Sta.Mría'!$C6</f>
        <v>Medir la eficiencia en el recaudo corriente de la prestación de los servicios pubicos domiciliarios de Aguas del Huila.</v>
      </c>
      <c r="B9" s="211"/>
      <c r="C9" s="211"/>
      <c r="D9" s="211"/>
      <c r="E9" s="17" t="s">
        <v>35</v>
      </c>
      <c r="F9" s="211" t="str">
        <f>'SET SP Sta.Mría'!$D6</f>
        <v>(Valor  Recaudado  Corriente Usuario Final / Valor  Facturado Corriente Usuario Final) x100%</v>
      </c>
      <c r="G9" s="211"/>
      <c r="H9" s="14">
        <f>$O16</f>
        <v>0.85</v>
      </c>
      <c r="I9" s="28" t="str">
        <f>'SET SP Sta.Mría'!$E6</f>
        <v>Trimestral</v>
      </c>
      <c r="J9" s="212" t="s">
        <v>89</v>
      </c>
      <c r="K9" s="213"/>
      <c r="L9" s="213"/>
      <c r="M9" s="213"/>
      <c r="N9" s="213"/>
      <c r="O9" s="214"/>
    </row>
    <row r="10" spans="1:24" ht="13.5" customHeight="1" x14ac:dyDescent="0.25">
      <c r="A10" s="220" t="s">
        <v>38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2"/>
    </row>
    <row r="11" spans="1:24" ht="21.75" customHeight="1" thickBot="1" x14ac:dyDescent="0.3">
      <c r="A11" s="223"/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5"/>
    </row>
    <row r="12" spans="1:24" ht="15" customHeight="1" thickBot="1" x14ac:dyDescent="0.3">
      <c r="A12" s="226" t="s">
        <v>31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8"/>
      <c r="V12" s="9"/>
      <c r="W12" s="27"/>
      <c r="X12" s="27"/>
    </row>
    <row r="13" spans="1:24" ht="16.5" customHeight="1" x14ac:dyDescent="0.25">
      <c r="A13" s="229" t="s">
        <v>273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1"/>
      <c r="V13" s="9"/>
      <c r="W13" s="10"/>
      <c r="X13" s="10"/>
    </row>
    <row r="14" spans="1:24" ht="16.5" customHeight="1" x14ac:dyDescent="0.25">
      <c r="A14" s="232" t="s">
        <v>32</v>
      </c>
      <c r="B14" s="233"/>
      <c r="C14" s="93" t="s">
        <v>8</v>
      </c>
      <c r="D14" s="93" t="s">
        <v>9</v>
      </c>
      <c r="E14" s="93" t="s">
        <v>10</v>
      </c>
      <c r="F14" s="93" t="s">
        <v>11</v>
      </c>
      <c r="G14" s="93" t="s">
        <v>12</v>
      </c>
      <c r="H14" s="93" t="s">
        <v>13</v>
      </c>
      <c r="I14" s="93" t="s">
        <v>14</v>
      </c>
      <c r="J14" s="93" t="s">
        <v>15</v>
      </c>
      <c r="K14" s="93" t="s">
        <v>16</v>
      </c>
      <c r="L14" s="93" t="s">
        <v>17</v>
      </c>
      <c r="M14" s="93" t="s">
        <v>18</v>
      </c>
      <c r="N14" s="93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40" t="s">
        <v>39</v>
      </c>
      <c r="B15" s="241"/>
      <c r="C15" s="124">
        <f t="shared" ref="C15:N15" si="0">$O$15</f>
        <v>0.82</v>
      </c>
      <c r="D15" s="124">
        <f t="shared" si="0"/>
        <v>0.82</v>
      </c>
      <c r="E15" s="124">
        <f t="shared" si="0"/>
        <v>0.82</v>
      </c>
      <c r="F15" s="124">
        <f t="shared" si="0"/>
        <v>0.82</v>
      </c>
      <c r="G15" s="124">
        <f t="shared" si="0"/>
        <v>0.82</v>
      </c>
      <c r="H15" s="124">
        <f t="shared" si="0"/>
        <v>0.82</v>
      </c>
      <c r="I15" s="124">
        <f t="shared" si="0"/>
        <v>0.82</v>
      </c>
      <c r="J15" s="124">
        <f t="shared" si="0"/>
        <v>0.82</v>
      </c>
      <c r="K15" s="124">
        <f t="shared" si="0"/>
        <v>0.82</v>
      </c>
      <c r="L15" s="124">
        <f t="shared" si="0"/>
        <v>0.82</v>
      </c>
      <c r="M15" s="124">
        <f t="shared" si="0"/>
        <v>0.82</v>
      </c>
      <c r="N15" s="124">
        <f t="shared" si="0"/>
        <v>0.82</v>
      </c>
      <c r="O15" s="125">
        <f>'SET SP Sta.Mría'!J6</f>
        <v>0.82</v>
      </c>
      <c r="V15" s="9"/>
      <c r="W15" s="10"/>
      <c r="X15" s="10"/>
    </row>
    <row r="16" spans="1:24" ht="17.25" customHeight="1" x14ac:dyDescent="0.25">
      <c r="A16" s="240" t="s">
        <v>272</v>
      </c>
      <c r="B16" s="241"/>
      <c r="C16" s="124">
        <f t="shared" ref="C16:N16" si="1">$O$16</f>
        <v>0.85</v>
      </c>
      <c r="D16" s="124">
        <f t="shared" si="1"/>
        <v>0.85</v>
      </c>
      <c r="E16" s="124">
        <f t="shared" si="1"/>
        <v>0.85</v>
      </c>
      <c r="F16" s="124">
        <f t="shared" si="1"/>
        <v>0.85</v>
      </c>
      <c r="G16" s="124">
        <f t="shared" si="1"/>
        <v>0.85</v>
      </c>
      <c r="H16" s="124">
        <f t="shared" si="1"/>
        <v>0.85</v>
      </c>
      <c r="I16" s="124">
        <f t="shared" si="1"/>
        <v>0.85</v>
      </c>
      <c r="J16" s="124">
        <f t="shared" si="1"/>
        <v>0.85</v>
      </c>
      <c r="K16" s="124">
        <f t="shared" si="1"/>
        <v>0.85</v>
      </c>
      <c r="L16" s="124">
        <f t="shared" si="1"/>
        <v>0.85</v>
      </c>
      <c r="M16" s="124">
        <f t="shared" si="1"/>
        <v>0.85</v>
      </c>
      <c r="N16" s="124">
        <f t="shared" si="1"/>
        <v>0.85</v>
      </c>
      <c r="O16" s="125">
        <f>'SET SP Sta.Mría'!K6</f>
        <v>0.85</v>
      </c>
      <c r="V16" s="9"/>
      <c r="W16" s="10"/>
      <c r="X16" s="10"/>
    </row>
    <row r="17" spans="1:24" ht="17.25" customHeight="1" x14ac:dyDescent="0.25">
      <c r="A17" s="244" t="s">
        <v>264</v>
      </c>
      <c r="B17" s="245"/>
      <c r="C17" s="12">
        <f t="shared" ref="C17:E17" si="2">IF((C19),C18/C19,"-")</f>
        <v>0.89938513824071409</v>
      </c>
      <c r="D17" s="12">
        <f t="shared" si="2"/>
        <v>0.69336371946752129</v>
      </c>
      <c r="E17" s="12">
        <f t="shared" si="2"/>
        <v>0.87439972265197707</v>
      </c>
      <c r="F17" s="12">
        <f>IF((F19),F18/F19,"-")</f>
        <v>0.91003516655882843</v>
      </c>
      <c r="G17" s="12">
        <f t="shared" ref="G17:O17" si="3">IF((G19),G18/G19,"-")</f>
        <v>0.87742372402846303</v>
      </c>
      <c r="H17" s="12">
        <f t="shared" si="3"/>
        <v>0.90294847376723542</v>
      </c>
      <c r="I17" s="12">
        <f t="shared" si="3"/>
        <v>0.86783966552181657</v>
      </c>
      <c r="J17" s="12">
        <f t="shared" si="3"/>
        <v>0.788972257214138</v>
      </c>
      <c r="K17" s="12">
        <f t="shared" si="3"/>
        <v>0.96654601837265952</v>
      </c>
      <c r="L17" s="12">
        <f t="shared" si="3"/>
        <v>1.0645256674535968</v>
      </c>
      <c r="M17" s="12">
        <f t="shared" si="3"/>
        <v>0.82003644505159434</v>
      </c>
      <c r="N17" s="12">
        <f t="shared" si="3"/>
        <v>0.90380431538062145</v>
      </c>
      <c r="O17" s="13">
        <f t="shared" si="3"/>
        <v>0.87827080951112635</v>
      </c>
      <c r="V17" s="9"/>
      <c r="W17" s="10"/>
      <c r="X17" s="10"/>
    </row>
    <row r="18" spans="1:24" ht="23.25" customHeight="1" x14ac:dyDescent="0.25">
      <c r="A18" s="246" t="s">
        <v>37</v>
      </c>
      <c r="B18" s="40" t="s">
        <v>131</v>
      </c>
      <c r="C18" s="58">
        <f>+'STA MARIA-18'!D$15+'STA MARIA-18'!D$17+'STA MARIA-18'!D$19</f>
        <v>19503200</v>
      </c>
      <c r="D18" s="58">
        <f>+'STA MARIA-18'!E$15+'STA MARIA-18'!E$21+'STA MARIA-18'!E$19</f>
        <v>13386505</v>
      </c>
      <c r="E18" s="58">
        <f>+'STA MARIA-18'!F$15+'STA MARIA-18'!F$17+'STA MARIA-18'!F$19</f>
        <v>17872120</v>
      </c>
      <c r="F18" s="58">
        <f>+'STA MARIA-18'!G$15+'STA MARIA-18'!G$17+'STA MARIA-18'!G$19</f>
        <v>19150649</v>
      </c>
      <c r="G18" s="58">
        <f>+'STA MARIA-18'!H$15+'STA MARIA-18'!H$17+'STA MARIA-18'!H$19</f>
        <v>18299300</v>
      </c>
      <c r="H18" s="58">
        <f>+'STA MARIA-18'!I$15+'STA MARIA-18'!I$17+'STA MARIA-18'!I$19</f>
        <v>18216692</v>
      </c>
      <c r="I18" s="58">
        <f>+'STA MARIA-18'!J$15+'STA MARIA-18'!J$17+'STA MARIA-18'!J$19</f>
        <v>19696601</v>
      </c>
      <c r="J18" s="58">
        <f>+'STA MARIA-18'!K$15+'STA MARIA-18'!K$17+'STA MARIA-18'!K$19</f>
        <v>17839903</v>
      </c>
      <c r="K18" s="58">
        <f>+'STA MARIA-18'!L$15+'STA MARIA-18'!L$17+'STA MARIA-18'!L$19</f>
        <v>20891522</v>
      </c>
      <c r="L18" s="58">
        <f>+'STA MARIA-18'!M$15+'STA MARIA-18'!M$17+'STA MARIA-18'!M$19</f>
        <v>17748631</v>
      </c>
      <c r="M18" s="58">
        <f>+'STA MARIA-18'!N$15+'STA MARIA-18'!N$17+'STA MARIA-18'!N$19</f>
        <v>17023973</v>
      </c>
      <c r="N18" s="58">
        <f>+'STA MARIA-18'!O$15+'STA MARIA-18'!O$17+'STA MARIA-18'!O$19</f>
        <v>17485762</v>
      </c>
      <c r="O18" s="60">
        <f>SUM(C18:N18)</f>
        <v>217114858</v>
      </c>
      <c r="V18" s="9"/>
      <c r="W18" s="10"/>
      <c r="X18" s="10"/>
    </row>
    <row r="19" spans="1:24" ht="17.25" customHeight="1" x14ac:dyDescent="0.25">
      <c r="A19" s="246"/>
      <c r="B19" s="40" t="s">
        <v>130</v>
      </c>
      <c r="C19" s="58">
        <f>+'STA MARIA-18'!D$14+'STA MARIA-18'!D$16+'STA MARIA-18'!D$18</f>
        <v>21685037</v>
      </c>
      <c r="D19" s="58">
        <f>+'STA MARIA-18'!E$14+'STA MARIA-18'!E$16+'STA MARIA-18'!E$18</f>
        <v>19306613</v>
      </c>
      <c r="E19" s="58">
        <f>+'STA MARIA-18'!F$14+'STA MARIA-18'!F$16+'STA MARIA-18'!F$18</f>
        <v>20439302</v>
      </c>
      <c r="F19" s="58">
        <f>+'STA MARIA-18'!G$14+'STA MARIA-18'!G$16+'STA MARIA-18'!G$18</f>
        <v>21043856</v>
      </c>
      <c r="G19" s="58">
        <f>+'STA MARIA-18'!H$14+'STA MARIA-18'!H$16+'STA MARIA-18'!H$18</f>
        <v>20855716</v>
      </c>
      <c r="H19" s="58">
        <f>+'STA MARIA-18'!I$14+'STA MARIA-18'!I$16+'STA MARIA-18'!I$18</f>
        <v>20174675</v>
      </c>
      <c r="I19" s="58">
        <f>+'STA MARIA-18'!J$14+'STA MARIA-18'!J$16+'STA MARIA-18'!J$18</f>
        <v>22696129</v>
      </c>
      <c r="J19" s="58">
        <f>+'STA MARIA-18'!K$14+'STA MARIA-18'!K$16+'STA MARIA-18'!K$18</f>
        <v>22611572</v>
      </c>
      <c r="K19" s="58">
        <f>+'STA MARIA-18'!L$14+'STA MARIA-18'!L$16+'STA MARIA-18'!L$18</f>
        <v>21614617</v>
      </c>
      <c r="L19" s="58">
        <f>+'STA MARIA-18'!M$14+'STA MARIA-18'!M$16+'STA MARIA-18'!M$18</f>
        <v>16672807</v>
      </c>
      <c r="M19" s="58">
        <f>+'STA MARIA-18'!N$14+'STA MARIA-18'!N$16+'STA MARIA-18'!N$18</f>
        <v>20760020</v>
      </c>
      <c r="N19" s="58">
        <f>+'STA MARIA-18'!O$14+'STA MARIA-18'!O$16+'STA MARIA-18'!O$18</f>
        <v>19346845</v>
      </c>
      <c r="O19" s="60">
        <f>SUM(C19:N19)</f>
        <v>247207189</v>
      </c>
      <c r="V19" s="9"/>
      <c r="W19" s="10"/>
      <c r="X19" s="10"/>
    </row>
    <row r="20" spans="1:24" ht="17.25" customHeight="1" x14ac:dyDescent="0.25">
      <c r="A20" s="246"/>
      <c r="B20" s="4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8" customHeight="1" thickBot="1" x14ac:dyDescent="0.3">
      <c r="A21" s="247"/>
      <c r="B21" s="41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248" t="s">
        <v>34</v>
      </c>
      <c r="B22" s="249"/>
      <c r="C22" s="250"/>
      <c r="D22" s="237" t="str">
        <f>'SET SP Sta.Mría'!$G6</f>
        <v>Entre 80% y 100%</v>
      </c>
      <c r="E22" s="238"/>
      <c r="F22" s="238"/>
      <c r="G22" s="239"/>
      <c r="H22" s="237" t="str">
        <f>'SET SP Sta.Mría'!$H6</f>
        <v>Entre 60% y 79%</v>
      </c>
      <c r="I22" s="238"/>
      <c r="J22" s="238"/>
      <c r="K22" s="239"/>
      <c r="L22" s="237" t="str">
        <f>'SET SP Sta.Mría'!$I6</f>
        <v>Menor al 59%</v>
      </c>
      <c r="M22" s="242"/>
      <c r="N22" s="242"/>
      <c r="O22" s="243"/>
      <c r="V22" s="9"/>
      <c r="W22" s="10"/>
      <c r="X22" s="10"/>
    </row>
    <row r="23" spans="1:24" ht="33" customHeight="1" thickBot="1" x14ac:dyDescent="0.3">
      <c r="A23" s="251"/>
      <c r="B23" s="252"/>
      <c r="C23" s="252"/>
      <c r="D23" s="253" t="s">
        <v>7</v>
      </c>
      <c r="E23" s="253"/>
      <c r="F23" s="253"/>
      <c r="G23" s="253"/>
      <c r="H23" s="254" t="s">
        <v>61</v>
      </c>
      <c r="I23" s="254"/>
      <c r="J23" s="254"/>
      <c r="K23" s="254"/>
      <c r="L23" s="215" t="s">
        <v>62</v>
      </c>
      <c r="M23" s="215"/>
      <c r="N23" s="215"/>
      <c r="O23" s="216"/>
      <c r="V23" s="9"/>
      <c r="W23" s="10"/>
      <c r="X23" s="10"/>
    </row>
    <row r="24" spans="1:24" ht="15.75" customHeight="1" thickBot="1" x14ac:dyDescent="0.3">
      <c r="A24" s="217" t="s">
        <v>36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9"/>
      <c r="V24" s="9"/>
      <c r="W24" s="10"/>
      <c r="X24" s="10"/>
    </row>
    <row r="25" spans="1:24" ht="264.75" customHeight="1" thickBot="1" x14ac:dyDescent="0.3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6"/>
      <c r="V25" s="9"/>
    </row>
    <row r="26" spans="1:24" ht="15" customHeight="1" x14ac:dyDescent="0.25">
      <c r="A26" s="206" t="s">
        <v>58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8" t="s">
        <v>60</v>
      </c>
      <c r="O26" s="209"/>
    </row>
    <row r="27" spans="1:24" ht="15" customHeight="1" x14ac:dyDescent="0.25">
      <c r="A27" s="167" t="s">
        <v>274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9">
        <v>43101</v>
      </c>
      <c r="O27" s="170"/>
    </row>
    <row r="28" spans="1:24" ht="15" customHeight="1" x14ac:dyDescent="0.25">
      <c r="A28" s="167" t="s">
        <v>275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9">
        <v>43132</v>
      </c>
      <c r="O28" s="170"/>
    </row>
    <row r="29" spans="1:24" ht="15" customHeight="1" x14ac:dyDescent="0.25">
      <c r="A29" s="167" t="s">
        <v>276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9">
        <v>43160</v>
      </c>
      <c r="O29" s="170"/>
    </row>
    <row r="30" spans="1:24" ht="15" customHeight="1" x14ac:dyDescent="0.25">
      <c r="A30" s="167" t="s">
        <v>277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9">
        <v>43191</v>
      </c>
      <c r="O30" s="170"/>
    </row>
    <row r="31" spans="1:24" ht="15" customHeight="1" x14ac:dyDescent="0.25">
      <c r="A31" s="167" t="s">
        <v>278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9">
        <v>43221</v>
      </c>
      <c r="O31" s="170"/>
    </row>
    <row r="32" spans="1:24" ht="15" customHeight="1" x14ac:dyDescent="0.25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9">
        <v>43252</v>
      </c>
      <c r="O32" s="170"/>
    </row>
    <row r="33" spans="1:17" ht="15" customHeight="1" x14ac:dyDescent="0.25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9">
        <v>43282</v>
      </c>
      <c r="O33" s="170"/>
    </row>
    <row r="34" spans="1:17" ht="15" customHeight="1" x14ac:dyDescent="0.25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9">
        <v>43313</v>
      </c>
      <c r="O34" s="170"/>
    </row>
    <row r="35" spans="1:17" ht="15" customHeight="1" x14ac:dyDescent="0.25">
      <c r="A35" s="167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9">
        <v>43344</v>
      </c>
      <c r="O35" s="170"/>
    </row>
    <row r="36" spans="1:17" ht="15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9">
        <v>43374</v>
      </c>
      <c r="O36" s="170"/>
    </row>
    <row r="37" spans="1:17" ht="15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9">
        <v>43405</v>
      </c>
      <c r="O37" s="170"/>
    </row>
    <row r="38" spans="1:17" ht="15" customHeight="1" thickBot="1" x14ac:dyDescent="0.3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9">
        <v>43435</v>
      </c>
      <c r="O38" s="170"/>
    </row>
    <row r="39" spans="1:17" ht="19.5" customHeight="1" x14ac:dyDescent="0.25">
      <c r="A39" s="206" t="s">
        <v>59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8" t="s">
        <v>60</v>
      </c>
      <c r="O39" s="209"/>
    </row>
    <row r="40" spans="1:17" ht="19.5" customHeight="1" x14ac:dyDescent="0.25">
      <c r="A40" s="167" t="s">
        <v>279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9">
        <v>43101</v>
      </c>
      <c r="O40" s="170"/>
    </row>
    <row r="41" spans="1:17" ht="19.5" customHeight="1" x14ac:dyDescent="0.25">
      <c r="A41" s="167" t="s">
        <v>280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9">
        <v>43132</v>
      </c>
      <c r="O41" s="170"/>
    </row>
    <row r="42" spans="1:17" ht="15" x14ac:dyDescent="0.25">
      <c r="A42" s="167" t="s">
        <v>279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9">
        <v>43160</v>
      </c>
      <c r="O42" s="170"/>
    </row>
    <row r="43" spans="1:17" ht="15" x14ac:dyDescent="0.25">
      <c r="A43" s="167" t="s">
        <v>279</v>
      </c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9">
        <v>43191</v>
      </c>
      <c r="O43" s="170"/>
    </row>
    <row r="44" spans="1:17" ht="15.75" thickBot="1" x14ac:dyDescent="0.3">
      <c r="A44" s="167" t="s">
        <v>279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9">
        <v>43221</v>
      </c>
      <c r="O44" s="170"/>
    </row>
    <row r="45" spans="1:17" ht="7.5" customHeight="1" x14ac:dyDescent="0.25">
      <c r="A45" s="255"/>
      <c r="B45" s="255"/>
      <c r="C45" s="255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5"/>
    </row>
    <row r="47" spans="1:17" ht="14.25" x14ac:dyDescent="0.2">
      <c r="Q47" s="49" t="s">
        <v>81</v>
      </c>
    </row>
    <row r="48" spans="1:17" ht="14.25" x14ac:dyDescent="0.2">
      <c r="Q48" s="49" t="s">
        <v>82</v>
      </c>
    </row>
    <row r="49" spans="17:17" ht="14.25" x14ac:dyDescent="0.2">
      <c r="Q49" s="49" t="s">
        <v>83</v>
      </c>
    </row>
    <row r="50" spans="17:17" ht="14.25" x14ac:dyDescent="0.2">
      <c r="Q50" s="49" t="s">
        <v>84</v>
      </c>
    </row>
    <row r="51" spans="17:17" ht="14.25" x14ac:dyDescent="0.2">
      <c r="Q51" s="49" t="s">
        <v>85</v>
      </c>
    </row>
    <row r="52" spans="17:17" ht="14.25" x14ac:dyDescent="0.2">
      <c r="Q52" s="49" t="s">
        <v>86</v>
      </c>
    </row>
    <row r="53" spans="17:17" ht="14.25" x14ac:dyDescent="0.2">
      <c r="Q53" s="49" t="s">
        <v>87</v>
      </c>
    </row>
    <row r="54" spans="17:17" ht="14.25" x14ac:dyDescent="0.2">
      <c r="Q54" s="49" t="s">
        <v>88</v>
      </c>
    </row>
    <row r="55" spans="17:17" ht="14.25" x14ac:dyDescent="0.2">
      <c r="Q55" s="49" t="s">
        <v>89</v>
      </c>
    </row>
    <row r="56" spans="17:17" ht="14.25" x14ac:dyDescent="0.2">
      <c r="Q56" s="49" t="s">
        <v>90</v>
      </c>
    </row>
    <row r="57" spans="17:17" ht="14.25" x14ac:dyDescent="0.2">
      <c r="Q57" s="49" t="s">
        <v>91</v>
      </c>
    </row>
    <row r="58" spans="17:17" ht="14.25" x14ac:dyDescent="0.2">
      <c r="Q58" s="49" t="s">
        <v>92</v>
      </c>
    </row>
    <row r="59" spans="17:17" ht="14.25" x14ac:dyDescent="0.2">
      <c r="Q59" s="49" t="s">
        <v>93</v>
      </c>
    </row>
    <row r="61" spans="17:17" x14ac:dyDescent="0.25">
      <c r="Q61" s="11">
        <v>0.85</v>
      </c>
    </row>
    <row r="62" spans="17:17" x14ac:dyDescent="0.25">
      <c r="Q62" s="11">
        <v>0.9</v>
      </c>
    </row>
  </sheetData>
  <mergeCells count="80">
    <mergeCell ref="A43:M43"/>
    <mergeCell ref="N43:O43"/>
    <mergeCell ref="A44:M44"/>
    <mergeCell ref="N44:O44"/>
    <mergeCell ref="A45:O45"/>
    <mergeCell ref="A25:O25"/>
    <mergeCell ref="D22:G22"/>
    <mergeCell ref="A15:B15"/>
    <mergeCell ref="L22:O22"/>
    <mergeCell ref="H22:K22"/>
    <mergeCell ref="A16:B16"/>
    <mergeCell ref="A17:B17"/>
    <mergeCell ref="A18:A21"/>
    <mergeCell ref="A22:C23"/>
    <mergeCell ref="D23:G23"/>
    <mergeCell ref="H23:K23"/>
    <mergeCell ref="A39:M39"/>
    <mergeCell ref="N39:O39"/>
    <mergeCell ref="A42:M42"/>
    <mergeCell ref="N42:O42"/>
    <mergeCell ref="A9:D9"/>
    <mergeCell ref="F9:G9"/>
    <mergeCell ref="J9:O9"/>
    <mergeCell ref="L23:O23"/>
    <mergeCell ref="A24:O24"/>
    <mergeCell ref="A10:O10"/>
    <mergeCell ref="A11:O11"/>
    <mergeCell ref="A12:O12"/>
    <mergeCell ref="A13:O13"/>
    <mergeCell ref="A14:B14"/>
    <mergeCell ref="A26:M26"/>
    <mergeCell ref="N26:O26"/>
    <mergeCell ref="A4:E4"/>
    <mergeCell ref="F4:O4"/>
    <mergeCell ref="A6:E6"/>
    <mergeCell ref="G6:O6"/>
    <mergeCell ref="A7:D8"/>
    <mergeCell ref="E7:E8"/>
    <mergeCell ref="F7:G8"/>
    <mergeCell ref="H7:H8"/>
    <mergeCell ref="I7:I8"/>
    <mergeCell ref="J7:K8"/>
    <mergeCell ref="L7:O7"/>
    <mergeCell ref="L8:M8"/>
    <mergeCell ref="A5:E5"/>
    <mergeCell ref="N8:O8"/>
    <mergeCell ref="F5:O5"/>
    <mergeCell ref="D1:O1"/>
    <mergeCell ref="D2:O2"/>
    <mergeCell ref="A1:C2"/>
    <mergeCell ref="A3:E3"/>
    <mergeCell ref="F3:O3"/>
    <mergeCell ref="A27:M27"/>
    <mergeCell ref="N27:O27"/>
    <mergeCell ref="A28:M28"/>
    <mergeCell ref="N28:O28"/>
    <mergeCell ref="A29:M29"/>
    <mergeCell ref="N29:O29"/>
    <mergeCell ref="A30:M30"/>
    <mergeCell ref="N30:O30"/>
    <mergeCell ref="A31:M31"/>
    <mergeCell ref="N31:O31"/>
    <mergeCell ref="A32:M32"/>
    <mergeCell ref="N32:O32"/>
    <mergeCell ref="A40:M40"/>
    <mergeCell ref="A41:M41"/>
    <mergeCell ref="N40:O40"/>
    <mergeCell ref="N41:O41"/>
    <mergeCell ref="A33:M33"/>
    <mergeCell ref="N33:O33"/>
    <mergeCell ref="A37:M37"/>
    <mergeCell ref="N37:O37"/>
    <mergeCell ref="A38:M38"/>
    <mergeCell ref="N38:O38"/>
    <mergeCell ref="A34:M34"/>
    <mergeCell ref="N34:O34"/>
    <mergeCell ref="A35:M35"/>
    <mergeCell ref="N35:O35"/>
    <mergeCell ref="A36:M36"/>
    <mergeCell ref="N36:O36"/>
  </mergeCells>
  <dataValidations disablePrompts="1" count="1">
    <dataValidation type="list" allowBlank="1" showInputMessage="1" showErrorMessage="1" sqref="J9:O9">
      <formula1>$Q$47:$Q$59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62"/>
  <sheetViews>
    <sheetView topLeftCell="A26" zoomScaleSheetLayoutView="72" workbookViewId="0">
      <selection activeCell="A40" sqref="A40:M40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3" width="9" style="3" customWidth="1"/>
    <col min="4" max="4" width="8.7109375" style="3" customWidth="1"/>
    <col min="5" max="5" width="8.85546875" style="3" customWidth="1"/>
    <col min="6" max="6" width="9.85546875" style="3" customWidth="1"/>
    <col min="7" max="7" width="8.85546875" style="3" customWidth="1"/>
    <col min="8" max="9" width="9.140625" style="3" customWidth="1"/>
    <col min="10" max="10" width="9" style="3" customWidth="1"/>
    <col min="11" max="11" width="7.7109375" style="3" customWidth="1"/>
    <col min="12" max="12" width="8.28515625" style="3" customWidth="1"/>
    <col min="13" max="14" width="7.7109375" style="3" customWidth="1"/>
    <col min="15" max="15" width="10.28515625" style="3" customWidth="1"/>
    <col min="16" max="16" width="7.140625" style="3" customWidth="1"/>
    <col min="17" max="17" width="10.85546875" style="3" hidden="1" customWidth="1"/>
    <col min="18" max="18" width="7.140625" style="3" hidden="1" customWidth="1"/>
    <col min="19" max="19" width="7.14062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75"/>
      <c r="B1" s="176"/>
      <c r="C1" s="177"/>
      <c r="D1" s="171" t="s">
        <v>20</v>
      </c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2"/>
    </row>
    <row r="2" spans="1:24" ht="15.75" customHeight="1" thickBot="1" x14ac:dyDescent="0.3">
      <c r="A2" s="178"/>
      <c r="B2" s="179"/>
      <c r="C2" s="180"/>
      <c r="D2" s="173" t="s">
        <v>67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4"/>
    </row>
    <row r="3" spans="1:24" ht="13.5" customHeight="1" x14ac:dyDescent="0.25">
      <c r="A3" s="181" t="s">
        <v>0</v>
      </c>
      <c r="B3" s="182"/>
      <c r="C3" s="182"/>
      <c r="D3" s="182"/>
      <c r="E3" s="182"/>
      <c r="F3" s="182" t="str">
        <f>'SET SP Sta.Mría'!J3</f>
        <v>GESTIÓN DE SERVICIOS PÚBLICOS - SANTA MARÍA</v>
      </c>
      <c r="G3" s="182"/>
      <c r="H3" s="182"/>
      <c r="I3" s="182"/>
      <c r="J3" s="182"/>
      <c r="K3" s="182"/>
      <c r="L3" s="182"/>
      <c r="M3" s="182"/>
      <c r="N3" s="182"/>
      <c r="O3" s="183"/>
    </row>
    <row r="4" spans="1:24" ht="15.75" customHeight="1" x14ac:dyDescent="0.25">
      <c r="A4" s="184" t="s">
        <v>1</v>
      </c>
      <c r="B4" s="185"/>
      <c r="C4" s="185"/>
      <c r="D4" s="185"/>
      <c r="E4" s="185"/>
      <c r="F4" s="186" t="str">
        <f>'SET SP Sta.Mría'!$B7</f>
        <v>Eficiencia de Recaudo Total</v>
      </c>
      <c r="G4" s="186"/>
      <c r="H4" s="186"/>
      <c r="I4" s="186"/>
      <c r="J4" s="186"/>
      <c r="K4" s="186"/>
      <c r="L4" s="186"/>
      <c r="M4" s="186"/>
      <c r="N4" s="186"/>
      <c r="O4" s="256"/>
    </row>
    <row r="5" spans="1:24" ht="15.75" customHeight="1" x14ac:dyDescent="0.25">
      <c r="A5" s="184" t="s">
        <v>55</v>
      </c>
      <c r="B5" s="185"/>
      <c r="C5" s="185"/>
      <c r="D5" s="185"/>
      <c r="E5" s="185"/>
      <c r="F5" s="203" t="str">
        <f>'SET SP Sta.Mría'!F7</f>
        <v xml:space="preserve">Eficiencia </v>
      </c>
      <c r="G5" s="204"/>
      <c r="H5" s="204"/>
      <c r="I5" s="204"/>
      <c r="J5" s="204"/>
      <c r="K5" s="204"/>
      <c r="L5" s="204"/>
      <c r="M5" s="204"/>
      <c r="N5" s="204"/>
      <c r="O5" s="205"/>
    </row>
    <row r="6" spans="1:24" ht="17.25" customHeight="1" thickBot="1" x14ac:dyDescent="0.3">
      <c r="A6" s="189" t="s">
        <v>21</v>
      </c>
      <c r="B6" s="190"/>
      <c r="C6" s="190"/>
      <c r="D6" s="190"/>
      <c r="E6" s="190"/>
      <c r="F6" s="26" t="s">
        <v>94</v>
      </c>
      <c r="G6" s="191" t="str">
        <f>'SET SP Sta.Mría'!A7</f>
        <v>IN02</v>
      </c>
      <c r="H6" s="191"/>
      <c r="I6" s="191"/>
      <c r="J6" s="191"/>
      <c r="K6" s="191"/>
      <c r="L6" s="191"/>
      <c r="M6" s="191"/>
      <c r="N6" s="191"/>
      <c r="O6" s="260"/>
    </row>
    <row r="7" spans="1:24" ht="12.75" customHeight="1" x14ac:dyDescent="0.25">
      <c r="A7" s="194" t="s">
        <v>22</v>
      </c>
      <c r="B7" s="195"/>
      <c r="C7" s="195"/>
      <c r="D7" s="195"/>
      <c r="E7" s="198" t="s">
        <v>23</v>
      </c>
      <c r="F7" s="198" t="s">
        <v>24</v>
      </c>
      <c r="G7" s="198"/>
      <c r="H7" s="198" t="s">
        <v>25</v>
      </c>
      <c r="I7" s="198" t="s">
        <v>26</v>
      </c>
      <c r="J7" s="198" t="s">
        <v>27</v>
      </c>
      <c r="K7" s="198"/>
      <c r="L7" s="200" t="s">
        <v>28</v>
      </c>
      <c r="M7" s="200"/>
      <c r="N7" s="200"/>
      <c r="O7" s="201"/>
    </row>
    <row r="8" spans="1:24" ht="46.5" customHeight="1" x14ac:dyDescent="0.25">
      <c r="A8" s="196"/>
      <c r="B8" s="197"/>
      <c r="C8" s="197"/>
      <c r="D8" s="197"/>
      <c r="E8" s="199"/>
      <c r="F8" s="199"/>
      <c r="G8" s="199"/>
      <c r="H8" s="199"/>
      <c r="I8" s="199"/>
      <c r="J8" s="199"/>
      <c r="K8" s="199"/>
      <c r="L8" s="197" t="s">
        <v>29</v>
      </c>
      <c r="M8" s="197"/>
      <c r="N8" s="197" t="s">
        <v>30</v>
      </c>
      <c r="O8" s="202"/>
    </row>
    <row r="9" spans="1:24" ht="46.5" customHeight="1" thickBot="1" x14ac:dyDescent="0.3">
      <c r="A9" s="210" t="str">
        <f>'SET SP Sta.Mría'!$C7</f>
        <v>Medir la eficiencia en el recaudo total de la prestación de los servicios pubicos domiciliarios de Aguas del Huila.</v>
      </c>
      <c r="B9" s="211"/>
      <c r="C9" s="211"/>
      <c r="D9" s="211"/>
      <c r="E9" s="17" t="s">
        <v>35</v>
      </c>
      <c r="F9" s="211" t="str">
        <f>'SET SP Sta.Mría'!$D7</f>
        <v>(Valor  Recaudado  Total Usuario Final / Valor  total Facturado usuario Final) x100%</v>
      </c>
      <c r="G9" s="211"/>
      <c r="H9" s="14">
        <f>$O16</f>
        <v>0.6</v>
      </c>
      <c r="I9" s="28" t="str">
        <f>'SET SP Sta.Mría'!$E7</f>
        <v>Trimestral</v>
      </c>
      <c r="J9" s="212" t="s">
        <v>89</v>
      </c>
      <c r="K9" s="213"/>
      <c r="L9" s="213"/>
      <c r="M9" s="213"/>
      <c r="N9" s="213"/>
      <c r="O9" s="214"/>
    </row>
    <row r="10" spans="1:24" ht="13.5" customHeight="1" x14ac:dyDescent="0.25">
      <c r="A10" s="220" t="s">
        <v>38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2"/>
    </row>
    <row r="11" spans="1:24" ht="35.25" customHeight="1" thickBot="1" x14ac:dyDescent="0.3">
      <c r="A11" s="223"/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5"/>
    </row>
    <row r="12" spans="1:24" ht="15" customHeight="1" thickBot="1" x14ac:dyDescent="0.3">
      <c r="A12" s="226" t="s">
        <v>31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8"/>
      <c r="V12" s="9"/>
      <c r="W12" s="27"/>
      <c r="X12" s="27"/>
    </row>
    <row r="13" spans="1:24" ht="16.5" customHeight="1" x14ac:dyDescent="0.25">
      <c r="A13" s="229" t="s">
        <v>273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1"/>
      <c r="V13" s="9"/>
      <c r="W13" s="10"/>
      <c r="X13" s="10"/>
    </row>
    <row r="14" spans="1:24" ht="16.5" customHeight="1" x14ac:dyDescent="0.25">
      <c r="A14" s="232" t="s">
        <v>32</v>
      </c>
      <c r="B14" s="233"/>
      <c r="C14" s="93" t="s">
        <v>8</v>
      </c>
      <c r="D14" s="93" t="s">
        <v>9</v>
      </c>
      <c r="E14" s="93" t="s">
        <v>10</v>
      </c>
      <c r="F14" s="93" t="s">
        <v>11</v>
      </c>
      <c r="G14" s="93" t="s">
        <v>12</v>
      </c>
      <c r="H14" s="93" t="s">
        <v>13</v>
      </c>
      <c r="I14" s="93" t="s">
        <v>14</v>
      </c>
      <c r="J14" s="93" t="s">
        <v>15</v>
      </c>
      <c r="K14" s="93" t="s">
        <v>16</v>
      </c>
      <c r="L14" s="93" t="s">
        <v>17</v>
      </c>
      <c r="M14" s="93" t="s">
        <v>18</v>
      </c>
      <c r="N14" s="93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40" t="s">
        <v>39</v>
      </c>
      <c r="B15" s="241"/>
      <c r="C15" s="126">
        <f t="shared" ref="C15:N15" si="0">$O$15</f>
        <v>0.49</v>
      </c>
      <c r="D15" s="126">
        <f t="shared" si="0"/>
        <v>0.49</v>
      </c>
      <c r="E15" s="126">
        <f t="shared" si="0"/>
        <v>0.49</v>
      </c>
      <c r="F15" s="126">
        <f t="shared" si="0"/>
        <v>0.49</v>
      </c>
      <c r="G15" s="126">
        <f t="shared" si="0"/>
        <v>0.49</v>
      </c>
      <c r="H15" s="126">
        <f t="shared" si="0"/>
        <v>0.49</v>
      </c>
      <c r="I15" s="126">
        <f t="shared" si="0"/>
        <v>0.49</v>
      </c>
      <c r="J15" s="126">
        <f t="shared" si="0"/>
        <v>0.49</v>
      </c>
      <c r="K15" s="126">
        <f t="shared" si="0"/>
        <v>0.49</v>
      </c>
      <c r="L15" s="126">
        <f t="shared" si="0"/>
        <v>0.49</v>
      </c>
      <c r="M15" s="126">
        <f t="shared" si="0"/>
        <v>0.49</v>
      </c>
      <c r="N15" s="126">
        <f t="shared" si="0"/>
        <v>0.49</v>
      </c>
      <c r="O15" s="125">
        <f>'SET SP Sta.Mría'!J7</f>
        <v>0.49</v>
      </c>
      <c r="V15" s="9"/>
      <c r="W15" s="10"/>
      <c r="X15" s="10"/>
    </row>
    <row r="16" spans="1:24" ht="17.25" customHeight="1" x14ac:dyDescent="0.25">
      <c r="A16" s="240" t="s">
        <v>272</v>
      </c>
      <c r="B16" s="241"/>
      <c r="C16" s="126">
        <f t="shared" ref="C16:N16" si="1">$O$16</f>
        <v>0.6</v>
      </c>
      <c r="D16" s="126">
        <f t="shared" si="1"/>
        <v>0.6</v>
      </c>
      <c r="E16" s="126">
        <f t="shared" si="1"/>
        <v>0.6</v>
      </c>
      <c r="F16" s="126">
        <f t="shared" si="1"/>
        <v>0.6</v>
      </c>
      <c r="G16" s="126">
        <f t="shared" si="1"/>
        <v>0.6</v>
      </c>
      <c r="H16" s="126">
        <f t="shared" si="1"/>
        <v>0.6</v>
      </c>
      <c r="I16" s="126">
        <f t="shared" si="1"/>
        <v>0.6</v>
      </c>
      <c r="J16" s="126">
        <f t="shared" si="1"/>
        <v>0.6</v>
      </c>
      <c r="K16" s="126">
        <f t="shared" si="1"/>
        <v>0.6</v>
      </c>
      <c r="L16" s="126">
        <f t="shared" si="1"/>
        <v>0.6</v>
      </c>
      <c r="M16" s="126">
        <f t="shared" si="1"/>
        <v>0.6</v>
      </c>
      <c r="N16" s="126">
        <f t="shared" si="1"/>
        <v>0.6</v>
      </c>
      <c r="O16" s="125">
        <f>'SET SP Sta.Mría'!K7</f>
        <v>0.6</v>
      </c>
      <c r="V16" s="9"/>
      <c r="W16" s="10"/>
      <c r="X16" s="10"/>
    </row>
    <row r="17" spans="1:24" ht="17.25" customHeight="1" x14ac:dyDescent="0.25">
      <c r="A17" s="244" t="s">
        <v>264</v>
      </c>
      <c r="B17" s="245"/>
      <c r="C17" s="12">
        <f t="shared" ref="C17:E17" si="2">IF((C19),C18/C19,"-")</f>
        <v>0.53680511611355775</v>
      </c>
      <c r="D17" s="12">
        <f t="shared" si="2"/>
        <v>0.50992992424764327</v>
      </c>
      <c r="E17" s="12">
        <f t="shared" si="2"/>
        <v>0.51773780656431501</v>
      </c>
      <c r="F17" s="12">
        <f>IF((F19),F18/F19,"-")</f>
        <v>0.5421004326176645</v>
      </c>
      <c r="G17" s="12">
        <f t="shared" ref="G17:O17" si="3">IF((G19),G18/G19,"-")</f>
        <v>0.50298221851919112</v>
      </c>
      <c r="H17" s="12">
        <f t="shared" si="3"/>
        <v>0.51123371164328146</v>
      </c>
      <c r="I17" s="12">
        <f t="shared" si="3"/>
        <v>0.50317405680440774</v>
      </c>
      <c r="J17" s="12">
        <f t="shared" si="3"/>
        <v>0.46525574205708442</v>
      </c>
      <c r="K17" s="12">
        <f t="shared" si="3"/>
        <v>0.5399108277845116</v>
      </c>
      <c r="L17" s="12">
        <f t="shared" si="3"/>
        <v>0.72345718559803518</v>
      </c>
      <c r="M17" s="12">
        <f t="shared" si="3"/>
        <v>0.58629851556740409</v>
      </c>
      <c r="N17" s="12">
        <f t="shared" si="3"/>
        <v>0.64760082816253628</v>
      </c>
      <c r="O17" s="13">
        <f t="shared" si="3"/>
        <v>0.54259304147964393</v>
      </c>
      <c r="V17" s="9"/>
      <c r="W17" s="10"/>
      <c r="X17" s="10"/>
    </row>
    <row r="18" spans="1:24" ht="18.75" customHeight="1" x14ac:dyDescent="0.25">
      <c r="A18" s="246" t="s">
        <v>37</v>
      </c>
      <c r="B18" s="40" t="s">
        <v>133</v>
      </c>
      <c r="C18" s="58">
        <f>+'STA MARIA-18'!D33</f>
        <v>19681550</v>
      </c>
      <c r="D18" s="58">
        <f>+'STA MARIA-18'!E33</f>
        <v>18505000</v>
      </c>
      <c r="E18" s="58">
        <f>+'STA MARIA-18'!F33</f>
        <v>19717450</v>
      </c>
      <c r="F18" s="58">
        <f>+'STA MARIA-18'!G33</f>
        <v>21425250</v>
      </c>
      <c r="G18" s="58">
        <f>+'STA MARIA-18'!H33</f>
        <v>19592100</v>
      </c>
      <c r="H18" s="58">
        <f>+'STA MARIA-18'!I33</f>
        <v>20175250</v>
      </c>
      <c r="I18" s="58">
        <f>+'STA MARIA-18'!J33</f>
        <v>21161150</v>
      </c>
      <c r="J18" s="58">
        <f>+'STA MARIA-18'!K33</f>
        <v>20241300</v>
      </c>
      <c r="K18" s="58">
        <f>+'STA MARIA-18'!L33</f>
        <v>23148200</v>
      </c>
      <c r="L18" s="58">
        <f>+'STA MARIA-18'!M33</f>
        <v>21852700</v>
      </c>
      <c r="M18" s="58">
        <f>+'STA MARIA-18'!N33</f>
        <v>18750200</v>
      </c>
      <c r="N18" s="58">
        <f>+'STA MARIA-18'!O33</f>
        <v>21095132</v>
      </c>
      <c r="O18" s="60">
        <f>SUM(C18:N18)</f>
        <v>245345282</v>
      </c>
      <c r="Q18" s="67"/>
      <c r="V18" s="9"/>
      <c r="W18" s="10"/>
      <c r="X18" s="10"/>
    </row>
    <row r="19" spans="1:24" ht="15.75" customHeight="1" x14ac:dyDescent="0.25">
      <c r="A19" s="246"/>
      <c r="B19" s="40" t="s">
        <v>132</v>
      </c>
      <c r="C19" s="58">
        <f>+'STA MARIA-18'!D$26+'STA MARIA-18'!D$28+'STA MARIA-18'!D$30</f>
        <v>36664237</v>
      </c>
      <c r="D19" s="58">
        <f>+'STA MARIA-18'!E$26+'STA MARIA-18'!E$28+'STA MARIA-18'!E$30</f>
        <v>36289300</v>
      </c>
      <c r="E19" s="58">
        <f>+'STA MARIA-18'!F$26+'STA MARIA-18'!F$28+'STA MARIA-18'!F$30</f>
        <v>38083852</v>
      </c>
      <c r="F19" s="58">
        <f>+'STA MARIA-18'!G$26+'STA MARIA-18'!G$28+'STA MARIA-18'!G$30</f>
        <v>39522658</v>
      </c>
      <c r="G19" s="58">
        <f>+'STA MARIA-18'!H$26+'STA MARIA-18'!H$28+'STA MARIA-18'!H$30</f>
        <v>38951874</v>
      </c>
      <c r="H19" s="58">
        <f>+'STA MARIA-18'!I$26+'STA MARIA-18'!I$28+'STA MARIA-18'!I$30</f>
        <v>39463849</v>
      </c>
      <c r="I19" s="58">
        <f>+'STA MARIA-18'!J$26+'STA MARIA-18'!J$28+'STA MARIA-18'!J$30</f>
        <v>42055328</v>
      </c>
      <c r="J19" s="58">
        <f>+'STA MARIA-18'!K$26+'STA MARIA-18'!K$28+'STA MARIA-18'!K$30</f>
        <v>43505750</v>
      </c>
      <c r="K19" s="58">
        <f>+'STA MARIA-18'!L$26+'STA MARIA-18'!L$28+'STA MARIA-18'!L$30</f>
        <v>42874117</v>
      </c>
      <c r="L19" s="58">
        <f>+'STA MARIA-18'!M$26+'STA MARIA-18'!M$28+'STA MARIA-18'!M$30</f>
        <v>30205934</v>
      </c>
      <c r="M19" s="58">
        <f>+'STA MARIA-18'!N$26+'STA MARIA-18'!N$28+'STA MARIA-18'!N$30</f>
        <v>31980637</v>
      </c>
      <c r="N19" s="58">
        <f>+'STA MARIA-18'!O$26+'STA MARIA-18'!O$28+'STA MARIA-18'!O$30</f>
        <v>32574282</v>
      </c>
      <c r="O19" s="60">
        <f>SUM(C19:N19)</f>
        <v>452171818</v>
      </c>
      <c r="Q19" s="67"/>
      <c r="V19" s="9"/>
      <c r="W19" s="10"/>
      <c r="X19" s="10"/>
    </row>
    <row r="20" spans="1:24" ht="17.25" customHeight="1" x14ac:dyDescent="0.25">
      <c r="A20" s="246"/>
      <c r="B20" s="9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8" customHeight="1" thickBot="1" x14ac:dyDescent="0.3">
      <c r="A21" s="247"/>
      <c r="B21" s="94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33" customHeight="1" thickBot="1" x14ac:dyDescent="0.3">
      <c r="A22" s="248" t="s">
        <v>34</v>
      </c>
      <c r="B22" s="249"/>
      <c r="C22" s="250"/>
      <c r="D22" s="264" t="str">
        <f>'SET SP Sta.Mría'!$G7</f>
        <v>Entre 71% y 100%</v>
      </c>
      <c r="E22" s="265"/>
      <c r="F22" s="265"/>
      <c r="G22" s="266"/>
      <c r="H22" s="264" t="str">
        <f>'SET SP Sta.Mría'!$H7</f>
        <v>Entre 60% y 70%</v>
      </c>
      <c r="I22" s="265"/>
      <c r="J22" s="265"/>
      <c r="K22" s="266"/>
      <c r="L22" s="257" t="str">
        <f>'SET SP Sta.Mría'!$I7</f>
        <v>Menor al 59%</v>
      </c>
      <c r="M22" s="258"/>
      <c r="N22" s="258"/>
      <c r="O22" s="259"/>
      <c r="V22" s="9"/>
      <c r="W22" s="10"/>
      <c r="X22" s="10"/>
    </row>
    <row r="23" spans="1:24" ht="33" customHeight="1" thickBot="1" x14ac:dyDescent="0.3">
      <c r="A23" s="251"/>
      <c r="B23" s="252"/>
      <c r="C23" s="252"/>
      <c r="D23" s="253" t="s">
        <v>7</v>
      </c>
      <c r="E23" s="253"/>
      <c r="F23" s="253"/>
      <c r="G23" s="253"/>
      <c r="H23" s="254" t="s">
        <v>61</v>
      </c>
      <c r="I23" s="254"/>
      <c r="J23" s="254"/>
      <c r="K23" s="254"/>
      <c r="L23" s="215" t="s">
        <v>62</v>
      </c>
      <c r="M23" s="215"/>
      <c r="N23" s="215"/>
      <c r="O23" s="216"/>
      <c r="V23" s="9"/>
      <c r="W23" s="10"/>
      <c r="X23" s="10"/>
    </row>
    <row r="24" spans="1:24" ht="15.75" customHeight="1" thickBot="1" x14ac:dyDescent="0.3">
      <c r="A24" s="217" t="s">
        <v>36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9"/>
      <c r="V24" s="9"/>
      <c r="W24" s="10"/>
      <c r="X24" s="10"/>
    </row>
    <row r="25" spans="1:24" ht="252.75" customHeight="1" thickBot="1" x14ac:dyDescent="0.3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3"/>
      <c r="V25" s="9"/>
    </row>
    <row r="26" spans="1:24" ht="15" customHeight="1" x14ac:dyDescent="0.25">
      <c r="A26" s="206" t="s">
        <v>58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8" t="s">
        <v>60</v>
      </c>
      <c r="O26" s="209"/>
    </row>
    <row r="27" spans="1:24" ht="15" x14ac:dyDescent="0.25">
      <c r="A27" s="167" t="s">
        <v>281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9">
        <v>43101</v>
      </c>
      <c r="O27" s="170"/>
    </row>
    <row r="28" spans="1:24" ht="24.75" customHeight="1" x14ac:dyDescent="0.25">
      <c r="A28" s="167" t="s">
        <v>282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9">
        <v>43132</v>
      </c>
      <c r="O28" s="170"/>
    </row>
    <row r="29" spans="1:24" ht="15" customHeight="1" x14ac:dyDescent="0.25">
      <c r="A29" s="167" t="s">
        <v>282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9">
        <v>43160</v>
      </c>
      <c r="O29" s="170"/>
    </row>
    <row r="30" spans="1:24" ht="18.75" customHeight="1" x14ac:dyDescent="0.25">
      <c r="A30" s="167" t="s">
        <v>282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9">
        <v>43191</v>
      </c>
      <c r="O30" s="170"/>
    </row>
    <row r="31" spans="1:24" ht="15" customHeight="1" x14ac:dyDescent="0.25">
      <c r="A31" s="167" t="s">
        <v>282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9">
        <v>43221</v>
      </c>
      <c r="O31" s="170"/>
    </row>
    <row r="32" spans="1:24" ht="15" x14ac:dyDescent="0.25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9">
        <v>43252</v>
      </c>
      <c r="O32" s="170"/>
    </row>
    <row r="33" spans="1:17" ht="15" x14ac:dyDescent="0.25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9">
        <v>43282</v>
      </c>
      <c r="O33" s="170"/>
    </row>
    <row r="34" spans="1:17" ht="15" customHeight="1" x14ac:dyDescent="0.25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9">
        <v>43313</v>
      </c>
      <c r="O34" s="170"/>
    </row>
    <row r="35" spans="1:17" ht="15" customHeight="1" x14ac:dyDescent="0.25">
      <c r="A35" s="167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9">
        <v>43344</v>
      </c>
      <c r="O35" s="170"/>
    </row>
    <row r="36" spans="1:17" ht="15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9">
        <v>43374</v>
      </c>
      <c r="O36" s="170"/>
    </row>
    <row r="37" spans="1:17" ht="15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9">
        <v>43405</v>
      </c>
      <c r="O37" s="170"/>
    </row>
    <row r="38" spans="1:17" ht="15" customHeight="1" thickBot="1" x14ac:dyDescent="0.3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9">
        <v>43435</v>
      </c>
      <c r="O38" s="170"/>
    </row>
    <row r="39" spans="1:17" ht="15" customHeight="1" x14ac:dyDescent="0.25">
      <c r="A39" s="206" t="s">
        <v>59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8" t="s">
        <v>60</v>
      </c>
      <c r="O39" s="209"/>
    </row>
    <row r="40" spans="1:17" ht="15" x14ac:dyDescent="0.25">
      <c r="A40" s="167" t="s">
        <v>280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9">
        <v>43101</v>
      </c>
      <c r="O40" s="170"/>
    </row>
    <row r="41" spans="1:17" ht="15" x14ac:dyDescent="0.25">
      <c r="A41" s="167" t="s">
        <v>280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9">
        <v>43132</v>
      </c>
      <c r="O41" s="170"/>
    </row>
    <row r="42" spans="1:17" ht="15" x14ac:dyDescent="0.25">
      <c r="A42" s="167" t="s">
        <v>280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9">
        <v>43160</v>
      </c>
      <c r="O42" s="170"/>
    </row>
    <row r="43" spans="1:17" ht="15" x14ac:dyDescent="0.25">
      <c r="A43" s="167" t="s">
        <v>280</v>
      </c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9">
        <v>43191</v>
      </c>
      <c r="O43" s="170"/>
    </row>
    <row r="44" spans="1:17" ht="15.75" thickBot="1" x14ac:dyDescent="0.3">
      <c r="A44" s="167" t="s">
        <v>280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9">
        <v>43221</v>
      </c>
      <c r="O44" s="170"/>
    </row>
    <row r="45" spans="1:17" ht="6.75" customHeight="1" x14ac:dyDescent="0.25">
      <c r="A45" s="255"/>
      <c r="B45" s="255"/>
      <c r="C45" s="255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5"/>
    </row>
    <row r="47" spans="1:17" ht="14.25" x14ac:dyDescent="0.2">
      <c r="Q47" s="49" t="s">
        <v>81</v>
      </c>
    </row>
    <row r="48" spans="1:17" ht="14.25" x14ac:dyDescent="0.2">
      <c r="Q48" s="49" t="s">
        <v>82</v>
      </c>
    </row>
    <row r="49" spans="17:17" ht="14.25" x14ac:dyDescent="0.2">
      <c r="Q49" s="49" t="s">
        <v>83</v>
      </c>
    </row>
    <row r="50" spans="17:17" ht="14.25" x14ac:dyDescent="0.2">
      <c r="Q50" s="49" t="s">
        <v>84</v>
      </c>
    </row>
    <row r="51" spans="17:17" ht="14.25" x14ac:dyDescent="0.2">
      <c r="Q51" s="49" t="s">
        <v>85</v>
      </c>
    </row>
    <row r="52" spans="17:17" ht="14.25" x14ac:dyDescent="0.2">
      <c r="Q52" s="49" t="s">
        <v>86</v>
      </c>
    </row>
    <row r="53" spans="17:17" ht="14.25" x14ac:dyDescent="0.2">
      <c r="Q53" s="49" t="s">
        <v>87</v>
      </c>
    </row>
    <row r="54" spans="17:17" ht="14.25" x14ac:dyDescent="0.2">
      <c r="Q54" s="49" t="s">
        <v>88</v>
      </c>
    </row>
    <row r="55" spans="17:17" ht="14.25" x14ac:dyDescent="0.2">
      <c r="Q55" s="49" t="s">
        <v>89</v>
      </c>
    </row>
    <row r="56" spans="17:17" ht="14.25" x14ac:dyDescent="0.2">
      <c r="Q56" s="49" t="s">
        <v>90</v>
      </c>
    </row>
    <row r="57" spans="17:17" ht="14.25" x14ac:dyDescent="0.2">
      <c r="Q57" s="49" t="s">
        <v>91</v>
      </c>
    </row>
    <row r="58" spans="17:17" ht="14.25" x14ac:dyDescent="0.2">
      <c r="Q58" s="49" t="s">
        <v>92</v>
      </c>
    </row>
    <row r="59" spans="17:17" ht="14.25" x14ac:dyDescent="0.2">
      <c r="Q59" s="49" t="s">
        <v>93</v>
      </c>
    </row>
    <row r="61" spans="17:17" x14ac:dyDescent="0.25">
      <c r="Q61" s="44">
        <v>0.73</v>
      </c>
    </row>
    <row r="62" spans="17:17" x14ac:dyDescent="0.25">
      <c r="Q62" s="44">
        <v>0.75</v>
      </c>
    </row>
  </sheetData>
  <mergeCells count="80">
    <mergeCell ref="A45:O45"/>
    <mergeCell ref="A25:O25"/>
    <mergeCell ref="H22:K22"/>
    <mergeCell ref="A22:C23"/>
    <mergeCell ref="D22:G22"/>
    <mergeCell ref="A24:O24"/>
    <mergeCell ref="A26:M26"/>
    <mergeCell ref="N26:O26"/>
    <mergeCell ref="N39:O39"/>
    <mergeCell ref="A39:M39"/>
    <mergeCell ref="N40:O40"/>
    <mergeCell ref="A40:M40"/>
    <mergeCell ref="A27:M27"/>
    <mergeCell ref="N27:O27"/>
    <mergeCell ref="A28:M28"/>
    <mergeCell ref="N28:O28"/>
    <mergeCell ref="A5:E5"/>
    <mergeCell ref="A16:B16"/>
    <mergeCell ref="A17:B17"/>
    <mergeCell ref="A18:A21"/>
    <mergeCell ref="A15:B15"/>
    <mergeCell ref="A10:O10"/>
    <mergeCell ref="J9:O9"/>
    <mergeCell ref="F5:O5"/>
    <mergeCell ref="A6:E6"/>
    <mergeCell ref="G6:O6"/>
    <mergeCell ref="A7:D8"/>
    <mergeCell ref="E7:E8"/>
    <mergeCell ref="F7:G8"/>
    <mergeCell ref="A12:O12"/>
    <mergeCell ref="A13:O13"/>
    <mergeCell ref="N8:O8"/>
    <mergeCell ref="A9:D9"/>
    <mergeCell ref="F9:G9"/>
    <mergeCell ref="L22:O22"/>
    <mergeCell ref="D23:G23"/>
    <mergeCell ref="H23:K23"/>
    <mergeCell ref="A11:O11"/>
    <mergeCell ref="A14:B14"/>
    <mergeCell ref="L23:O23"/>
    <mergeCell ref="I7:I8"/>
    <mergeCell ref="J7:K8"/>
    <mergeCell ref="L7:O7"/>
    <mergeCell ref="L8:M8"/>
    <mergeCell ref="H7:H8"/>
    <mergeCell ref="D1:O1"/>
    <mergeCell ref="D2:O2"/>
    <mergeCell ref="A3:E3"/>
    <mergeCell ref="F3:O3"/>
    <mergeCell ref="A4:E4"/>
    <mergeCell ref="F4:O4"/>
    <mergeCell ref="A1:C2"/>
    <mergeCell ref="A29:M29"/>
    <mergeCell ref="N29:O29"/>
    <mergeCell ref="A30:M30"/>
    <mergeCell ref="N30:O30"/>
    <mergeCell ref="A31:M31"/>
    <mergeCell ref="N31:O31"/>
    <mergeCell ref="A32:M32"/>
    <mergeCell ref="N32:O32"/>
    <mergeCell ref="A33:M33"/>
    <mergeCell ref="N33:O33"/>
    <mergeCell ref="A37:M37"/>
    <mergeCell ref="N37:O37"/>
    <mergeCell ref="A34:M34"/>
    <mergeCell ref="N34:O34"/>
    <mergeCell ref="A35:M35"/>
    <mergeCell ref="N35:O35"/>
    <mergeCell ref="A36:M36"/>
    <mergeCell ref="N36:O36"/>
    <mergeCell ref="A41:M41"/>
    <mergeCell ref="N41:O41"/>
    <mergeCell ref="A44:M44"/>
    <mergeCell ref="N44:O44"/>
    <mergeCell ref="A38:M38"/>
    <mergeCell ref="N38:O38"/>
    <mergeCell ref="A42:M42"/>
    <mergeCell ref="A43:M43"/>
    <mergeCell ref="N42:O42"/>
    <mergeCell ref="N43:O43"/>
  </mergeCells>
  <dataValidations disablePrompts="1" count="1">
    <dataValidation type="list" allowBlank="1" showInputMessage="1" showErrorMessage="1" sqref="J9:O9">
      <formula1>$Q$47:$Q$59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64"/>
  <sheetViews>
    <sheetView topLeftCell="A27" zoomScaleSheetLayoutView="72" workbookViewId="0">
      <selection activeCell="A46" sqref="A46:M46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4" width="9" style="3" bestFit="1" customWidth="1"/>
    <col min="5" max="5" width="9.140625" style="3" customWidth="1"/>
    <col min="6" max="8" width="9" style="3" bestFit="1" customWidth="1"/>
    <col min="9" max="9" width="9.5703125" style="3" customWidth="1"/>
    <col min="10" max="10" width="9.85546875" style="3" bestFit="1" customWidth="1"/>
    <col min="11" max="11" width="7.7109375" style="3" customWidth="1"/>
    <col min="12" max="12" width="8.28515625" style="3" customWidth="1"/>
    <col min="13" max="14" width="7.7109375" style="3" customWidth="1"/>
    <col min="15" max="15" width="9.85546875" style="3" bestFit="1" customWidth="1"/>
    <col min="16" max="16" width="7" style="3" customWidth="1"/>
    <col min="17" max="18" width="7" style="3" hidden="1" customWidth="1"/>
    <col min="19" max="19" width="7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75"/>
      <c r="B1" s="176"/>
      <c r="C1" s="177"/>
      <c r="D1" s="171" t="s">
        <v>20</v>
      </c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2"/>
    </row>
    <row r="2" spans="1:24" ht="15.75" customHeight="1" thickBot="1" x14ac:dyDescent="0.3">
      <c r="A2" s="178"/>
      <c r="B2" s="179"/>
      <c r="C2" s="180"/>
      <c r="D2" s="173" t="s">
        <v>67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4"/>
    </row>
    <row r="3" spans="1:24" ht="13.5" customHeight="1" x14ac:dyDescent="0.25">
      <c r="A3" s="181" t="s">
        <v>0</v>
      </c>
      <c r="B3" s="182"/>
      <c r="C3" s="182"/>
      <c r="D3" s="182"/>
      <c r="E3" s="182"/>
      <c r="F3" s="182" t="str">
        <f>'SET SP Sta.Mría'!J3</f>
        <v>GESTIÓN DE SERVICIOS PÚBLICOS - SANTA MARÍA</v>
      </c>
      <c r="G3" s="182"/>
      <c r="H3" s="182"/>
      <c r="I3" s="182"/>
      <c r="J3" s="182"/>
      <c r="K3" s="182"/>
      <c r="L3" s="182"/>
      <c r="M3" s="182"/>
      <c r="N3" s="182"/>
      <c r="O3" s="183"/>
    </row>
    <row r="4" spans="1:24" ht="15.75" customHeight="1" x14ac:dyDescent="0.25">
      <c r="A4" s="184" t="s">
        <v>1</v>
      </c>
      <c r="B4" s="185"/>
      <c r="C4" s="185"/>
      <c r="D4" s="185"/>
      <c r="E4" s="185"/>
      <c r="F4" s="186" t="str">
        <f>'SET SP Sta.Mría'!$B8</f>
        <v>Rotación de Cartera</v>
      </c>
      <c r="G4" s="186"/>
      <c r="H4" s="186"/>
      <c r="I4" s="186"/>
      <c r="J4" s="186"/>
      <c r="K4" s="186"/>
      <c r="L4" s="186"/>
      <c r="M4" s="186"/>
      <c r="N4" s="186"/>
      <c r="O4" s="256"/>
    </row>
    <row r="5" spans="1:24" ht="15.75" customHeight="1" x14ac:dyDescent="0.25">
      <c r="A5" s="184" t="s">
        <v>55</v>
      </c>
      <c r="B5" s="185"/>
      <c r="C5" s="185"/>
      <c r="D5" s="185"/>
      <c r="E5" s="185"/>
      <c r="F5" s="203" t="str">
        <f>'SET SP Sta.Mría'!F8</f>
        <v xml:space="preserve">Eficiencia </v>
      </c>
      <c r="G5" s="204"/>
      <c r="H5" s="204"/>
      <c r="I5" s="204"/>
      <c r="J5" s="204"/>
      <c r="K5" s="204"/>
      <c r="L5" s="204"/>
      <c r="M5" s="204"/>
      <c r="N5" s="204"/>
      <c r="O5" s="205"/>
    </row>
    <row r="6" spans="1:24" ht="17.25" customHeight="1" thickBot="1" x14ac:dyDescent="0.3">
      <c r="A6" s="189" t="s">
        <v>21</v>
      </c>
      <c r="B6" s="190"/>
      <c r="C6" s="190"/>
      <c r="D6" s="190"/>
      <c r="E6" s="190"/>
      <c r="F6" s="26" t="s">
        <v>94</v>
      </c>
      <c r="G6" s="191" t="str">
        <f>'SET SP Sta.Mría'!A8</f>
        <v>IN03</v>
      </c>
      <c r="H6" s="191"/>
      <c r="I6" s="191"/>
      <c r="J6" s="191"/>
      <c r="K6" s="191"/>
      <c r="L6" s="191"/>
      <c r="M6" s="191"/>
      <c r="N6" s="191"/>
      <c r="O6" s="260"/>
    </row>
    <row r="7" spans="1:24" ht="12.75" customHeight="1" x14ac:dyDescent="0.25">
      <c r="A7" s="194" t="s">
        <v>22</v>
      </c>
      <c r="B7" s="195"/>
      <c r="C7" s="195"/>
      <c r="D7" s="195"/>
      <c r="E7" s="198" t="s">
        <v>23</v>
      </c>
      <c r="F7" s="198" t="s">
        <v>24</v>
      </c>
      <c r="G7" s="198"/>
      <c r="H7" s="198" t="s">
        <v>25</v>
      </c>
      <c r="I7" s="198" t="s">
        <v>26</v>
      </c>
      <c r="J7" s="198" t="s">
        <v>27</v>
      </c>
      <c r="K7" s="198"/>
      <c r="L7" s="200" t="s">
        <v>28</v>
      </c>
      <c r="M7" s="200"/>
      <c r="N7" s="200"/>
      <c r="O7" s="201"/>
    </row>
    <row r="8" spans="1:24" ht="46.5" customHeight="1" x14ac:dyDescent="0.25">
      <c r="A8" s="196"/>
      <c r="B8" s="197"/>
      <c r="C8" s="197"/>
      <c r="D8" s="197"/>
      <c r="E8" s="199"/>
      <c r="F8" s="199"/>
      <c r="G8" s="199"/>
      <c r="H8" s="199"/>
      <c r="I8" s="199"/>
      <c r="J8" s="199"/>
      <c r="K8" s="199"/>
      <c r="L8" s="197" t="s">
        <v>29</v>
      </c>
      <c r="M8" s="197"/>
      <c r="N8" s="197" t="s">
        <v>30</v>
      </c>
      <c r="O8" s="202"/>
    </row>
    <row r="9" spans="1:24" ht="57.75" customHeight="1" thickBot="1" x14ac:dyDescent="0.3">
      <c r="A9" s="210" t="str">
        <f>'SET SP Sta.Mría'!$C8</f>
        <v>Controlar la cartera existentes de servicios publicos por edades con el fin de evaluar la rotación de la misma.</v>
      </c>
      <c r="B9" s="211"/>
      <c r="C9" s="211"/>
      <c r="D9" s="211"/>
      <c r="E9" s="17" t="s">
        <v>112</v>
      </c>
      <c r="F9" s="211" t="str">
        <f>'SET SP Sta.Mría'!$D8</f>
        <v>(Cuentas por Cobrar  a particulares y/o oficiales /  Valor Facturado Usuarios particulares y/o oficiales) x 365</v>
      </c>
      <c r="G9" s="211"/>
      <c r="H9" s="59">
        <f>$O16</f>
        <v>20</v>
      </c>
      <c r="I9" s="36" t="str">
        <f>'SET SP Sta.Mría'!$E8</f>
        <v>Trimestral</v>
      </c>
      <c r="J9" s="212" t="s">
        <v>89</v>
      </c>
      <c r="K9" s="213"/>
      <c r="L9" s="213"/>
      <c r="M9" s="213"/>
      <c r="N9" s="213"/>
      <c r="O9" s="214"/>
    </row>
    <row r="10" spans="1:24" ht="13.5" customHeight="1" x14ac:dyDescent="0.25">
      <c r="A10" s="220" t="s">
        <v>38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2"/>
    </row>
    <row r="11" spans="1:24" ht="21.75" customHeight="1" thickBot="1" x14ac:dyDescent="0.3">
      <c r="A11" s="223"/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5"/>
    </row>
    <row r="12" spans="1:24" ht="15" customHeight="1" thickBot="1" x14ac:dyDescent="0.3">
      <c r="A12" s="226" t="s">
        <v>31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8"/>
      <c r="V12" s="9"/>
      <c r="W12" s="35"/>
      <c r="X12" s="35"/>
    </row>
    <row r="13" spans="1:24" ht="16.5" customHeight="1" x14ac:dyDescent="0.25">
      <c r="A13" s="229" t="s">
        <v>273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1"/>
      <c r="V13" s="9"/>
      <c r="W13" s="10"/>
      <c r="X13" s="10"/>
    </row>
    <row r="14" spans="1:24" ht="16.5" customHeight="1" x14ac:dyDescent="0.25">
      <c r="A14" s="232" t="s">
        <v>32</v>
      </c>
      <c r="B14" s="233"/>
      <c r="C14" s="93" t="s">
        <v>8</v>
      </c>
      <c r="D14" s="93" t="s">
        <v>9</v>
      </c>
      <c r="E14" s="93" t="s">
        <v>10</v>
      </c>
      <c r="F14" s="93" t="s">
        <v>11</v>
      </c>
      <c r="G14" s="93" t="s">
        <v>12</v>
      </c>
      <c r="H14" s="93" t="s">
        <v>13</v>
      </c>
      <c r="I14" s="93" t="s">
        <v>14</v>
      </c>
      <c r="J14" s="93" t="s">
        <v>15</v>
      </c>
      <c r="K14" s="93" t="s">
        <v>16</v>
      </c>
      <c r="L14" s="93" t="s">
        <v>17</v>
      </c>
      <c r="M14" s="93" t="s">
        <v>18</v>
      </c>
      <c r="N14" s="93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40" t="s">
        <v>39</v>
      </c>
      <c r="B15" s="241"/>
      <c r="C15" s="127">
        <f t="shared" ref="C15:N15" si="0">$O$15</f>
        <v>30</v>
      </c>
      <c r="D15" s="127">
        <f t="shared" si="0"/>
        <v>30</v>
      </c>
      <c r="E15" s="127">
        <f t="shared" si="0"/>
        <v>30</v>
      </c>
      <c r="F15" s="127">
        <f t="shared" si="0"/>
        <v>30</v>
      </c>
      <c r="G15" s="127">
        <f t="shared" si="0"/>
        <v>30</v>
      </c>
      <c r="H15" s="127">
        <f t="shared" si="0"/>
        <v>30</v>
      </c>
      <c r="I15" s="127">
        <f t="shared" si="0"/>
        <v>30</v>
      </c>
      <c r="J15" s="127">
        <f t="shared" si="0"/>
        <v>30</v>
      </c>
      <c r="K15" s="127">
        <f t="shared" si="0"/>
        <v>30</v>
      </c>
      <c r="L15" s="127">
        <f t="shared" si="0"/>
        <v>30</v>
      </c>
      <c r="M15" s="127">
        <f t="shared" si="0"/>
        <v>30</v>
      </c>
      <c r="N15" s="127">
        <f t="shared" si="0"/>
        <v>30</v>
      </c>
      <c r="O15" s="128">
        <f>'SET SP Sta.Mría'!J8</f>
        <v>30</v>
      </c>
      <c r="V15" s="9"/>
      <c r="W15" s="10"/>
      <c r="X15" s="10"/>
    </row>
    <row r="16" spans="1:24" ht="17.25" customHeight="1" x14ac:dyDescent="0.25">
      <c r="A16" s="240" t="s">
        <v>272</v>
      </c>
      <c r="B16" s="241"/>
      <c r="C16" s="127">
        <f t="shared" ref="C16:N16" si="1">$O$16</f>
        <v>20</v>
      </c>
      <c r="D16" s="127">
        <f t="shared" si="1"/>
        <v>20</v>
      </c>
      <c r="E16" s="127">
        <f t="shared" si="1"/>
        <v>20</v>
      </c>
      <c r="F16" s="127">
        <f t="shared" si="1"/>
        <v>20</v>
      </c>
      <c r="G16" s="127">
        <f t="shared" si="1"/>
        <v>20</v>
      </c>
      <c r="H16" s="127">
        <f t="shared" si="1"/>
        <v>20</v>
      </c>
      <c r="I16" s="127">
        <f t="shared" si="1"/>
        <v>20</v>
      </c>
      <c r="J16" s="127">
        <f t="shared" si="1"/>
        <v>20</v>
      </c>
      <c r="K16" s="127">
        <f t="shared" si="1"/>
        <v>20</v>
      </c>
      <c r="L16" s="127">
        <f t="shared" si="1"/>
        <v>20</v>
      </c>
      <c r="M16" s="127">
        <f t="shared" si="1"/>
        <v>20</v>
      </c>
      <c r="N16" s="127">
        <f t="shared" si="1"/>
        <v>20</v>
      </c>
      <c r="O16" s="128">
        <f>'SET SP Sta.Mría'!K8</f>
        <v>20</v>
      </c>
      <c r="V16" s="9"/>
      <c r="W16" s="10"/>
      <c r="X16" s="10"/>
    </row>
    <row r="17" spans="1:24" ht="17.25" customHeight="1" x14ac:dyDescent="0.25">
      <c r="A17" s="244" t="s">
        <v>264</v>
      </c>
      <c r="B17" s="245"/>
      <c r="C17" s="55">
        <f>IF((C20),(C18/C20)*30,"-")</f>
        <v>23.494569550423179</v>
      </c>
      <c r="D17" s="55">
        <f>IF((D20),(D18/D20)*60,"-")</f>
        <v>26.031106335070678</v>
      </c>
      <c r="E17" s="55">
        <f>IF((E20),(E18/E20)*90,"-")</f>
        <v>26.907871784243223</v>
      </c>
      <c r="F17" s="55">
        <f>IF((F20),(F18/F20)*120,"-")</f>
        <v>26.331543081615902</v>
      </c>
      <c r="G17" s="55">
        <f>IF((G20),(G18/G20)*150,"-")</f>
        <v>28.103661798908522</v>
      </c>
      <c r="H17" s="55">
        <f>IF((H20),(H18/H20)*180,"-")</f>
        <v>28.111754388574361</v>
      </c>
      <c r="I17" s="55">
        <f>IF((I20),(I18/I20)*220,"-")</f>
        <v>31.441021931073021</v>
      </c>
      <c r="J17" s="55">
        <f>IF((J20),(J18/J20)*250,"-")</f>
        <v>34.453009811453981</v>
      </c>
      <c r="K17" s="55">
        <f>IF((K20),(K18/K20)*280,"-")</f>
        <v>29.004509679134237</v>
      </c>
      <c r="L17" s="55">
        <f>IF((L20),(L18/L20)*310,"-")</f>
        <v>12.503614142100522</v>
      </c>
      <c r="M17" s="55">
        <f>IF((M20),(M18/M20)*330,"-")</f>
        <v>19.16105335994753</v>
      </c>
      <c r="N17" s="55">
        <f>IF((N20),(N18/N20)*365,"-")</f>
        <v>16.948899289494371</v>
      </c>
      <c r="O17" s="56">
        <f t="shared" ref="O17" si="2">IF((O20),(O18/O20)*365,"-")</f>
        <v>25.448183075830102</v>
      </c>
      <c r="V17" s="9"/>
      <c r="W17" s="10"/>
      <c r="X17" s="10"/>
    </row>
    <row r="18" spans="1:24" ht="24.75" customHeight="1" x14ac:dyDescent="0.25">
      <c r="A18" s="246" t="s">
        <v>37</v>
      </c>
      <c r="B18" s="40" t="s">
        <v>134</v>
      </c>
      <c r="C18" s="58">
        <f>+'STA MARIA-18'!D37</f>
        <v>16982687</v>
      </c>
      <c r="D18" s="58">
        <f>+'STA MARIA-18'!E37</f>
        <v>17784300</v>
      </c>
      <c r="E18" s="58">
        <f>+'STA MARIA-18'!F37</f>
        <v>18366402</v>
      </c>
      <c r="F18" s="58">
        <f>+'STA MARIA-18'!G37</f>
        <v>18097408</v>
      </c>
      <c r="G18" s="58">
        <f>+'STA MARIA-18'!H37</f>
        <v>19359774</v>
      </c>
      <c r="H18" s="58">
        <f>+'STA MARIA-18'!I37</f>
        <v>19288599</v>
      </c>
      <c r="I18" s="58">
        <f>+'STA MARIA-18'!J37</f>
        <v>20894178</v>
      </c>
      <c r="J18" s="58">
        <f>+'STA MARIA-18'!K37</f>
        <v>23264450</v>
      </c>
      <c r="K18" s="58">
        <f>+'STA MARIA-18'!L37</f>
        <v>19725917</v>
      </c>
      <c r="L18" s="58">
        <f>+'STA MARIA-18'!M37</f>
        <v>8353234</v>
      </c>
      <c r="M18" s="58">
        <f>+'STA MARIA-18'!N37</f>
        <v>13230437</v>
      </c>
      <c r="N18" s="58">
        <f>+'STA MARIA-18'!O37</f>
        <v>11479150</v>
      </c>
      <c r="O18" s="60">
        <f>AVERAGE(C18:N18)</f>
        <v>17235544.666666668</v>
      </c>
      <c r="V18" s="9"/>
      <c r="W18" s="10"/>
      <c r="X18" s="10"/>
    </row>
    <row r="19" spans="1:24" ht="24.75" customHeight="1" x14ac:dyDescent="0.25">
      <c r="A19" s="246"/>
      <c r="B19" s="40" t="s">
        <v>250</v>
      </c>
      <c r="C19" s="58">
        <f>'01'!C19</f>
        <v>21685037</v>
      </c>
      <c r="D19" s="58">
        <f>'01'!D19</f>
        <v>19306613</v>
      </c>
      <c r="E19" s="58">
        <f>'01'!E19</f>
        <v>20439302</v>
      </c>
      <c r="F19" s="58">
        <f>'01'!F19</f>
        <v>21043856</v>
      </c>
      <c r="G19" s="58">
        <f>'01'!G19</f>
        <v>20855716</v>
      </c>
      <c r="H19" s="58">
        <f>'01'!H19</f>
        <v>20174675</v>
      </c>
      <c r="I19" s="58">
        <f>'01'!I19</f>
        <v>22696129</v>
      </c>
      <c r="J19" s="58">
        <f>'01'!J19</f>
        <v>22611572</v>
      </c>
      <c r="K19" s="58">
        <f>'01'!K19</f>
        <v>21614617</v>
      </c>
      <c r="L19" s="58">
        <f>'01'!L19</f>
        <v>16672807</v>
      </c>
      <c r="M19" s="58">
        <f>'01'!M19</f>
        <v>20760020</v>
      </c>
      <c r="N19" s="58">
        <f>'01'!N19</f>
        <v>19346845</v>
      </c>
      <c r="O19" s="60">
        <f>SUM(C19:N19)</f>
        <v>247207189</v>
      </c>
      <c r="V19" s="9"/>
      <c r="W19" s="10"/>
      <c r="X19" s="10"/>
    </row>
    <row r="20" spans="1:24" ht="23.25" customHeight="1" x14ac:dyDescent="0.25">
      <c r="A20" s="246"/>
      <c r="B20" s="40" t="s">
        <v>251</v>
      </c>
      <c r="C20" s="58">
        <f>C19</f>
        <v>21685037</v>
      </c>
      <c r="D20" s="58">
        <f>C20+D19</f>
        <v>40991650</v>
      </c>
      <c r="E20" s="58">
        <f t="shared" ref="E20:J20" si="3">D20+E19</f>
        <v>61430952</v>
      </c>
      <c r="F20" s="58">
        <f t="shared" si="3"/>
        <v>82474808</v>
      </c>
      <c r="G20" s="58">
        <f t="shared" si="3"/>
        <v>103330524</v>
      </c>
      <c r="H20" s="58">
        <f t="shared" si="3"/>
        <v>123505199</v>
      </c>
      <c r="I20" s="58">
        <f t="shared" si="3"/>
        <v>146201328</v>
      </c>
      <c r="J20" s="58">
        <f t="shared" si="3"/>
        <v>168812900</v>
      </c>
      <c r="K20" s="58">
        <f t="shared" ref="K20" si="4">J20+K19</f>
        <v>190427517</v>
      </c>
      <c r="L20" s="58">
        <f t="shared" ref="L20" si="5">K20+L19</f>
        <v>207100324</v>
      </c>
      <c r="M20" s="58">
        <f t="shared" ref="M20" si="6">L20+M19</f>
        <v>227860344</v>
      </c>
      <c r="N20" s="58">
        <f t="shared" ref="N20" si="7">M20+N19</f>
        <v>247207189</v>
      </c>
      <c r="O20" s="60">
        <f>MAX(C20:N20)</f>
        <v>247207189</v>
      </c>
      <c r="V20" s="9"/>
      <c r="W20" s="10"/>
      <c r="X20" s="10"/>
    </row>
    <row r="21" spans="1:24" ht="17.25" customHeight="1" x14ac:dyDescent="0.25">
      <c r="A21" s="246"/>
      <c r="B21" s="9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19"/>
      <c r="V21" s="9"/>
      <c r="W21" s="10"/>
      <c r="X21" s="10"/>
    </row>
    <row r="22" spans="1:24" ht="18" customHeight="1" thickBot="1" x14ac:dyDescent="0.3">
      <c r="A22" s="247"/>
      <c r="B22" s="94" t="s">
        <v>3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20"/>
      <c r="V22" s="9"/>
      <c r="W22" s="10"/>
      <c r="X22" s="10"/>
    </row>
    <row r="23" spans="1:24" ht="14.25" customHeight="1" thickBot="1" x14ac:dyDescent="0.3">
      <c r="A23" s="248" t="s">
        <v>34</v>
      </c>
      <c r="B23" s="249"/>
      <c r="C23" s="250"/>
      <c r="D23" s="237" t="str">
        <f>'SET SP Sta.Mría'!$G8</f>
        <v>Menor a 31 días</v>
      </c>
      <c r="E23" s="238"/>
      <c r="F23" s="238"/>
      <c r="G23" s="239"/>
      <c r="H23" s="237" t="str">
        <f>'SET SP Sta.Mría'!$H8</f>
        <v>Entre 31 y 45 días</v>
      </c>
      <c r="I23" s="238"/>
      <c r="J23" s="238"/>
      <c r="K23" s="239"/>
      <c r="L23" s="237" t="str">
        <f>'SET SP Sta.Mría'!$I8</f>
        <v>Mayor a 45 días</v>
      </c>
      <c r="M23" s="242"/>
      <c r="N23" s="242"/>
      <c r="O23" s="243"/>
      <c r="V23" s="9"/>
      <c r="W23" s="10"/>
      <c r="X23" s="10"/>
    </row>
    <row r="24" spans="1:24" ht="33" customHeight="1" thickBot="1" x14ac:dyDescent="0.3">
      <c r="A24" s="251"/>
      <c r="B24" s="252"/>
      <c r="C24" s="252"/>
      <c r="D24" s="253" t="s">
        <v>7</v>
      </c>
      <c r="E24" s="253"/>
      <c r="F24" s="253"/>
      <c r="G24" s="253"/>
      <c r="H24" s="254" t="s">
        <v>61</v>
      </c>
      <c r="I24" s="254"/>
      <c r="J24" s="254"/>
      <c r="K24" s="254"/>
      <c r="L24" s="215" t="s">
        <v>62</v>
      </c>
      <c r="M24" s="215"/>
      <c r="N24" s="215"/>
      <c r="O24" s="216"/>
      <c r="V24" s="9"/>
      <c r="W24" s="10"/>
      <c r="X24" s="10"/>
    </row>
    <row r="25" spans="1:24" ht="15.75" customHeight="1" thickBot="1" x14ac:dyDescent="0.3">
      <c r="A25" s="217" t="s">
        <v>36</v>
      </c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9"/>
      <c r="V25" s="9"/>
      <c r="W25" s="10"/>
      <c r="X25" s="10"/>
    </row>
    <row r="26" spans="1:24" ht="264.75" customHeight="1" thickBot="1" x14ac:dyDescent="0.3">
      <c r="A26" s="234"/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6"/>
      <c r="V26" s="9"/>
    </row>
    <row r="27" spans="1:24" ht="15" customHeight="1" x14ac:dyDescent="0.25">
      <c r="A27" s="206" t="s">
        <v>58</v>
      </c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8" t="s">
        <v>60</v>
      </c>
      <c r="O27" s="209"/>
    </row>
    <row r="28" spans="1:24" ht="15" customHeight="1" x14ac:dyDescent="0.25">
      <c r="A28" s="167" t="s">
        <v>283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9">
        <v>43101</v>
      </c>
      <c r="O28" s="170"/>
    </row>
    <row r="29" spans="1:24" ht="15" customHeight="1" x14ac:dyDescent="0.25">
      <c r="A29" s="167" t="s">
        <v>283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9">
        <v>43132</v>
      </c>
      <c r="O29" s="170"/>
    </row>
    <row r="30" spans="1:24" ht="15" customHeight="1" x14ac:dyDescent="0.25">
      <c r="A30" s="167" t="s">
        <v>283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9">
        <v>43160</v>
      </c>
      <c r="O30" s="170"/>
    </row>
    <row r="31" spans="1:24" ht="15" customHeight="1" x14ac:dyDescent="0.25">
      <c r="A31" s="167" t="s">
        <v>283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9">
        <v>43191</v>
      </c>
      <c r="O31" s="170"/>
    </row>
    <row r="32" spans="1:24" ht="15" customHeight="1" x14ac:dyDescent="0.25">
      <c r="A32" s="167" t="s">
        <v>283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9">
        <v>43221</v>
      </c>
      <c r="O32" s="170"/>
    </row>
    <row r="33" spans="1:15" ht="15" customHeight="1" x14ac:dyDescent="0.25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9">
        <v>43252</v>
      </c>
      <c r="O33" s="170"/>
    </row>
    <row r="34" spans="1:15" ht="15" customHeight="1" x14ac:dyDescent="0.25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9">
        <v>43282</v>
      </c>
      <c r="O34" s="170"/>
    </row>
    <row r="35" spans="1:15" ht="15" customHeight="1" x14ac:dyDescent="0.25">
      <c r="A35" s="167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9">
        <v>43313</v>
      </c>
      <c r="O35" s="170"/>
    </row>
    <row r="36" spans="1:15" ht="15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9">
        <v>43344</v>
      </c>
      <c r="O36" s="170"/>
    </row>
    <row r="37" spans="1:15" ht="15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9">
        <v>43374</v>
      </c>
      <c r="O37" s="170"/>
    </row>
    <row r="38" spans="1:15" ht="15" customHeight="1" x14ac:dyDescent="0.25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9">
        <v>43405</v>
      </c>
      <c r="O38" s="170"/>
    </row>
    <row r="39" spans="1:15" ht="15" customHeight="1" thickBot="1" x14ac:dyDescent="0.3">
      <c r="A39" s="167"/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9">
        <v>43435</v>
      </c>
      <c r="O39" s="170"/>
    </row>
    <row r="40" spans="1:15" ht="19.5" customHeight="1" x14ac:dyDescent="0.25">
      <c r="A40" s="206" t="s">
        <v>59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8" t="s">
        <v>60</v>
      </c>
      <c r="O40" s="209"/>
    </row>
    <row r="41" spans="1:15" ht="19.5" customHeight="1" x14ac:dyDescent="0.25">
      <c r="A41" s="167" t="s">
        <v>280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9">
        <v>43101</v>
      </c>
      <c r="O41" s="170"/>
    </row>
    <row r="42" spans="1:15" ht="19.5" customHeight="1" x14ac:dyDescent="0.25">
      <c r="A42" s="167" t="s">
        <v>280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9">
        <v>43132</v>
      </c>
      <c r="O42" s="170"/>
    </row>
    <row r="43" spans="1:15" ht="19.5" customHeight="1" x14ac:dyDescent="0.25">
      <c r="A43" s="167" t="s">
        <v>280</v>
      </c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9">
        <v>43160</v>
      </c>
      <c r="O43" s="170"/>
    </row>
    <row r="44" spans="1:15" ht="19.5" customHeight="1" x14ac:dyDescent="0.25">
      <c r="A44" s="167" t="s">
        <v>280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9">
        <v>43191</v>
      </c>
      <c r="O44" s="170"/>
    </row>
    <row r="45" spans="1:15" ht="15" x14ac:dyDescent="0.25">
      <c r="A45" s="167" t="s">
        <v>280</v>
      </c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9">
        <v>43221</v>
      </c>
      <c r="O45" s="170"/>
    </row>
    <row r="46" spans="1:15" ht="15.75" thickBot="1" x14ac:dyDescent="0.3">
      <c r="A46" s="167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9">
        <v>43252</v>
      </c>
      <c r="O46" s="170"/>
    </row>
    <row r="47" spans="1:15" ht="5.25" customHeight="1" x14ac:dyDescent="0.25">
      <c r="A47" s="255"/>
      <c r="B47" s="255"/>
      <c r="C47" s="255"/>
      <c r="D47" s="255"/>
      <c r="E47" s="255"/>
      <c r="F47" s="255"/>
      <c r="G47" s="255"/>
      <c r="H47" s="255"/>
      <c r="I47" s="255"/>
      <c r="J47" s="255"/>
      <c r="K47" s="255"/>
      <c r="L47" s="255"/>
      <c r="M47" s="255"/>
      <c r="N47" s="255"/>
      <c r="O47" s="255"/>
    </row>
    <row r="49" spans="17:17" ht="14.25" x14ac:dyDescent="0.2">
      <c r="Q49" s="49" t="s">
        <v>81</v>
      </c>
    </row>
    <row r="50" spans="17:17" ht="14.25" x14ac:dyDescent="0.2">
      <c r="Q50" s="49" t="s">
        <v>82</v>
      </c>
    </row>
    <row r="51" spans="17:17" ht="14.25" x14ac:dyDescent="0.2">
      <c r="Q51" s="49" t="s">
        <v>83</v>
      </c>
    </row>
    <row r="52" spans="17:17" ht="14.25" x14ac:dyDescent="0.2">
      <c r="Q52" s="49" t="s">
        <v>84</v>
      </c>
    </row>
    <row r="53" spans="17:17" ht="14.25" x14ac:dyDescent="0.2">
      <c r="Q53" s="49" t="s">
        <v>85</v>
      </c>
    </row>
    <row r="54" spans="17:17" ht="14.25" x14ac:dyDescent="0.2">
      <c r="Q54" s="49" t="s">
        <v>86</v>
      </c>
    </row>
    <row r="55" spans="17:17" ht="14.25" x14ac:dyDescent="0.2">
      <c r="Q55" s="49" t="s">
        <v>87</v>
      </c>
    </row>
    <row r="56" spans="17:17" ht="14.25" x14ac:dyDescent="0.2">
      <c r="Q56" s="49" t="s">
        <v>88</v>
      </c>
    </row>
    <row r="57" spans="17:17" ht="14.25" x14ac:dyDescent="0.2">
      <c r="Q57" s="49" t="s">
        <v>89</v>
      </c>
    </row>
    <row r="58" spans="17:17" ht="14.25" x14ac:dyDescent="0.2">
      <c r="Q58" s="49" t="s">
        <v>90</v>
      </c>
    </row>
    <row r="59" spans="17:17" ht="14.25" x14ac:dyDescent="0.2">
      <c r="Q59" s="49" t="s">
        <v>91</v>
      </c>
    </row>
    <row r="60" spans="17:17" ht="14.25" x14ac:dyDescent="0.2">
      <c r="Q60" s="49" t="s">
        <v>92</v>
      </c>
    </row>
    <row r="61" spans="17:17" ht="14.25" x14ac:dyDescent="0.2">
      <c r="Q61" s="49" t="s">
        <v>93</v>
      </c>
    </row>
    <row r="63" spans="17:17" x14ac:dyDescent="0.25">
      <c r="Q63" s="52">
        <v>32</v>
      </c>
    </row>
    <row r="64" spans="17:17" x14ac:dyDescent="0.25">
      <c r="Q64" s="52">
        <v>30</v>
      </c>
    </row>
  </sheetData>
  <mergeCells count="82">
    <mergeCell ref="A47:O47"/>
    <mergeCell ref="A1:C2"/>
    <mergeCell ref="D1:O1"/>
    <mergeCell ref="D2:O2"/>
    <mergeCell ref="A6:E6"/>
    <mergeCell ref="G6:O6"/>
    <mergeCell ref="A5:E5"/>
    <mergeCell ref="A3:E3"/>
    <mergeCell ref="F3:O3"/>
    <mergeCell ref="A4:E4"/>
    <mergeCell ref="F4:O4"/>
    <mergeCell ref="F5:O5"/>
    <mergeCell ref="A25:O25"/>
    <mergeCell ref="A26:O26"/>
    <mergeCell ref="H23:K23"/>
    <mergeCell ref="A23:C24"/>
    <mergeCell ref="D24:G24"/>
    <mergeCell ref="H24:K24"/>
    <mergeCell ref="L24:O24"/>
    <mergeCell ref="N8:O8"/>
    <mergeCell ref="J7:K8"/>
    <mergeCell ref="L7:O7"/>
    <mergeCell ref="L8:M8"/>
    <mergeCell ref="A7:D8"/>
    <mergeCell ref="E7:E8"/>
    <mergeCell ref="F7:G8"/>
    <mergeCell ref="H7:H8"/>
    <mergeCell ref="I7:I8"/>
    <mergeCell ref="A14:B14"/>
    <mergeCell ref="A9:D9"/>
    <mergeCell ref="F9:G9"/>
    <mergeCell ref="L23:O23"/>
    <mergeCell ref="A16:B16"/>
    <mergeCell ref="A17:B17"/>
    <mergeCell ref="A18:A22"/>
    <mergeCell ref="A15:B15"/>
    <mergeCell ref="D23:G23"/>
    <mergeCell ref="J9:O9"/>
    <mergeCell ref="A10:O10"/>
    <mergeCell ref="A11:O11"/>
    <mergeCell ref="A12:O12"/>
    <mergeCell ref="A13:O13"/>
    <mergeCell ref="A46:M46"/>
    <mergeCell ref="N46:O46"/>
    <mergeCell ref="A27:M27"/>
    <mergeCell ref="N27:O27"/>
    <mergeCell ref="A40:M40"/>
    <mergeCell ref="N40:O40"/>
    <mergeCell ref="A45:M45"/>
    <mergeCell ref="N45:O45"/>
    <mergeCell ref="A28:M28"/>
    <mergeCell ref="N28:O28"/>
    <mergeCell ref="A29:M29"/>
    <mergeCell ref="N29:O29"/>
    <mergeCell ref="A30:M30"/>
    <mergeCell ref="N30:O30"/>
    <mergeCell ref="A31:M31"/>
    <mergeCell ref="N31:O31"/>
    <mergeCell ref="A32:M32"/>
    <mergeCell ref="N32:O32"/>
    <mergeCell ref="A33:M33"/>
    <mergeCell ref="N33:O33"/>
    <mergeCell ref="A34:M34"/>
    <mergeCell ref="N34:O34"/>
    <mergeCell ref="A35:M35"/>
    <mergeCell ref="N35:O35"/>
    <mergeCell ref="A39:M39"/>
    <mergeCell ref="N39:O39"/>
    <mergeCell ref="A36:M36"/>
    <mergeCell ref="N36:O36"/>
    <mergeCell ref="A37:M37"/>
    <mergeCell ref="N37:O37"/>
    <mergeCell ref="A38:M38"/>
    <mergeCell ref="N38:O38"/>
    <mergeCell ref="A41:M41"/>
    <mergeCell ref="A42:M42"/>
    <mergeCell ref="A43:M43"/>
    <mergeCell ref="A44:M44"/>
    <mergeCell ref="N41:O41"/>
    <mergeCell ref="N42:O42"/>
    <mergeCell ref="N43:O43"/>
    <mergeCell ref="N44:O44"/>
  </mergeCells>
  <dataValidations count="1">
    <dataValidation type="list" allowBlank="1" showInputMessage="1" showErrorMessage="1" sqref="J9:O9">
      <formula1>$Q$49:$Q$61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64"/>
  <sheetViews>
    <sheetView topLeftCell="A28" zoomScaleSheetLayoutView="72" workbookViewId="0">
      <selection activeCell="N46" sqref="N46:O46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4" width="9" style="3" bestFit="1" customWidth="1"/>
    <col min="5" max="5" width="9.42578125" style="3" customWidth="1"/>
    <col min="6" max="8" width="9" style="3" bestFit="1" customWidth="1"/>
    <col min="9" max="9" width="9.7109375" style="3" customWidth="1"/>
    <col min="10" max="15" width="9" style="3" bestFit="1" customWidth="1"/>
    <col min="16" max="16" width="8.7109375" style="3" customWidth="1"/>
    <col min="17" max="18" width="8.7109375" style="3" hidden="1" customWidth="1"/>
    <col min="19" max="19" width="8.710937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75"/>
      <c r="B1" s="176"/>
      <c r="C1" s="177"/>
      <c r="D1" s="171" t="s">
        <v>20</v>
      </c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2"/>
    </row>
    <row r="2" spans="1:24" ht="15.75" customHeight="1" thickBot="1" x14ac:dyDescent="0.3">
      <c r="A2" s="178"/>
      <c r="B2" s="179"/>
      <c r="C2" s="180"/>
      <c r="D2" s="173" t="s">
        <v>67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4"/>
    </row>
    <row r="3" spans="1:24" ht="13.5" customHeight="1" x14ac:dyDescent="0.25">
      <c r="A3" s="181" t="s">
        <v>0</v>
      </c>
      <c r="B3" s="182"/>
      <c r="C3" s="182"/>
      <c r="D3" s="182"/>
      <c r="E3" s="182"/>
      <c r="F3" s="182" t="str">
        <f>'SET SP Sta.Mría'!J3</f>
        <v>GESTIÓN DE SERVICIOS PÚBLICOS - SANTA MARÍA</v>
      </c>
      <c r="G3" s="182"/>
      <c r="H3" s="182"/>
      <c r="I3" s="182"/>
      <c r="J3" s="182"/>
      <c r="K3" s="182"/>
      <c r="L3" s="182"/>
      <c r="M3" s="182"/>
      <c r="N3" s="182"/>
      <c r="O3" s="183"/>
    </row>
    <row r="4" spans="1:24" ht="15.75" customHeight="1" x14ac:dyDescent="0.25">
      <c r="A4" s="184" t="s">
        <v>1</v>
      </c>
      <c r="B4" s="185"/>
      <c r="C4" s="185"/>
      <c r="D4" s="185"/>
      <c r="E4" s="185"/>
      <c r="F4" s="186" t="str">
        <f>'SET SP Sta.Mría'!$B9</f>
        <v>Ejecución de inversiones</v>
      </c>
      <c r="G4" s="186"/>
      <c r="H4" s="186"/>
      <c r="I4" s="186"/>
      <c r="J4" s="186"/>
      <c r="K4" s="186"/>
      <c r="L4" s="186"/>
      <c r="M4" s="186"/>
      <c r="N4" s="186"/>
      <c r="O4" s="256"/>
    </row>
    <row r="5" spans="1:24" ht="15.75" customHeight="1" x14ac:dyDescent="0.25">
      <c r="A5" s="184" t="s">
        <v>55</v>
      </c>
      <c r="B5" s="185"/>
      <c r="C5" s="185"/>
      <c r="D5" s="185"/>
      <c r="E5" s="185"/>
      <c r="F5" s="203" t="str">
        <f>'SET SP Sta.Mría'!F9</f>
        <v xml:space="preserve">Eficiencia </v>
      </c>
      <c r="G5" s="204"/>
      <c r="H5" s="204"/>
      <c r="I5" s="204"/>
      <c r="J5" s="204"/>
      <c r="K5" s="204"/>
      <c r="L5" s="204"/>
      <c r="M5" s="204"/>
      <c r="N5" s="204"/>
      <c r="O5" s="205"/>
    </row>
    <row r="6" spans="1:24" ht="17.25" customHeight="1" thickBot="1" x14ac:dyDescent="0.3">
      <c r="A6" s="189" t="s">
        <v>21</v>
      </c>
      <c r="B6" s="190"/>
      <c r="C6" s="190"/>
      <c r="D6" s="190"/>
      <c r="E6" s="190"/>
      <c r="F6" s="26" t="s">
        <v>94</v>
      </c>
      <c r="G6" s="191" t="str">
        <f>'SET SP Sta.Mría'!A9</f>
        <v>IN04</v>
      </c>
      <c r="H6" s="191"/>
      <c r="I6" s="191"/>
      <c r="J6" s="191"/>
      <c r="K6" s="191"/>
      <c r="L6" s="191"/>
      <c r="M6" s="191"/>
      <c r="N6" s="191"/>
      <c r="O6" s="260"/>
    </row>
    <row r="7" spans="1:24" ht="12.75" customHeight="1" x14ac:dyDescent="0.25">
      <c r="A7" s="194" t="s">
        <v>22</v>
      </c>
      <c r="B7" s="195"/>
      <c r="C7" s="195"/>
      <c r="D7" s="195"/>
      <c r="E7" s="198" t="s">
        <v>23</v>
      </c>
      <c r="F7" s="198" t="s">
        <v>24</v>
      </c>
      <c r="G7" s="198"/>
      <c r="H7" s="198" t="s">
        <v>25</v>
      </c>
      <c r="I7" s="198" t="s">
        <v>26</v>
      </c>
      <c r="J7" s="198" t="s">
        <v>27</v>
      </c>
      <c r="K7" s="198"/>
      <c r="L7" s="200" t="s">
        <v>28</v>
      </c>
      <c r="M7" s="200"/>
      <c r="N7" s="200"/>
      <c r="O7" s="201"/>
    </row>
    <row r="8" spans="1:24" ht="46.5" customHeight="1" x14ac:dyDescent="0.25">
      <c r="A8" s="196"/>
      <c r="B8" s="197"/>
      <c r="C8" s="197"/>
      <c r="D8" s="197"/>
      <c r="E8" s="199"/>
      <c r="F8" s="199"/>
      <c r="G8" s="199"/>
      <c r="H8" s="199"/>
      <c r="I8" s="199"/>
      <c r="J8" s="199"/>
      <c r="K8" s="199"/>
      <c r="L8" s="197" t="s">
        <v>29</v>
      </c>
      <c r="M8" s="197"/>
      <c r="N8" s="197" t="s">
        <v>30</v>
      </c>
      <c r="O8" s="202"/>
    </row>
    <row r="9" spans="1:24" ht="38.25" customHeight="1" thickBot="1" x14ac:dyDescent="0.3">
      <c r="A9" s="210" t="str">
        <f>'SET SP Sta.Mría'!$C9</f>
        <v>Realizar el seguimiento a la ejecución de la inversión establecida para la vigencia fiscal respectiva.</v>
      </c>
      <c r="B9" s="211"/>
      <c r="C9" s="211"/>
      <c r="D9" s="211"/>
      <c r="E9" s="17" t="s">
        <v>35</v>
      </c>
      <c r="F9" s="211" t="str">
        <f>'SET SP Sta.Mría'!$D9</f>
        <v xml:space="preserve">(Inversión realizada / Inversión presupuestada) x 100% </v>
      </c>
      <c r="G9" s="211"/>
      <c r="H9" s="39">
        <f>$O16</f>
        <v>1</v>
      </c>
      <c r="I9" s="36" t="str">
        <f>'SET SP Sta.Mría'!$E9</f>
        <v>Trimestral</v>
      </c>
      <c r="J9" s="212" t="s">
        <v>89</v>
      </c>
      <c r="K9" s="213"/>
      <c r="L9" s="213"/>
      <c r="M9" s="213"/>
      <c r="N9" s="213"/>
      <c r="O9" s="214"/>
    </row>
    <row r="10" spans="1:24" ht="13.5" customHeight="1" x14ac:dyDescent="0.25">
      <c r="A10" s="220" t="s">
        <v>38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2"/>
    </row>
    <row r="11" spans="1:24" ht="21.75" customHeight="1" thickBot="1" x14ac:dyDescent="0.3">
      <c r="A11" s="223"/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5"/>
    </row>
    <row r="12" spans="1:24" ht="15" customHeight="1" thickBot="1" x14ac:dyDescent="0.3">
      <c r="A12" s="226" t="s">
        <v>31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8"/>
      <c r="V12" s="9"/>
      <c r="W12" s="35"/>
      <c r="X12" s="35"/>
    </row>
    <row r="13" spans="1:24" ht="16.5" customHeight="1" x14ac:dyDescent="0.25">
      <c r="A13" s="229" t="s">
        <v>273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1"/>
      <c r="V13" s="9"/>
      <c r="W13" s="10"/>
      <c r="X13" s="10"/>
    </row>
    <row r="14" spans="1:24" ht="16.5" customHeight="1" x14ac:dyDescent="0.25">
      <c r="A14" s="232" t="s">
        <v>32</v>
      </c>
      <c r="B14" s="233"/>
      <c r="C14" s="93" t="s">
        <v>8</v>
      </c>
      <c r="D14" s="93" t="s">
        <v>9</v>
      </c>
      <c r="E14" s="93" t="s">
        <v>10</v>
      </c>
      <c r="F14" s="93" t="s">
        <v>11</v>
      </c>
      <c r="G14" s="93" t="s">
        <v>12</v>
      </c>
      <c r="H14" s="93" t="s">
        <v>13</v>
      </c>
      <c r="I14" s="93" t="s">
        <v>14</v>
      </c>
      <c r="J14" s="93" t="s">
        <v>15</v>
      </c>
      <c r="K14" s="93" t="s">
        <v>16</v>
      </c>
      <c r="L14" s="93" t="s">
        <v>17</v>
      </c>
      <c r="M14" s="93" t="s">
        <v>18</v>
      </c>
      <c r="N14" s="93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40" t="s">
        <v>39</v>
      </c>
      <c r="B15" s="241"/>
      <c r="C15" s="126">
        <f t="shared" ref="C15:N15" si="0">$O$15</f>
        <v>0.14000000000000001</v>
      </c>
      <c r="D15" s="126">
        <f t="shared" si="0"/>
        <v>0.14000000000000001</v>
      </c>
      <c r="E15" s="126">
        <f t="shared" si="0"/>
        <v>0.14000000000000001</v>
      </c>
      <c r="F15" s="126">
        <f t="shared" si="0"/>
        <v>0.14000000000000001</v>
      </c>
      <c r="G15" s="126">
        <f t="shared" si="0"/>
        <v>0.14000000000000001</v>
      </c>
      <c r="H15" s="126">
        <f t="shared" si="0"/>
        <v>0.14000000000000001</v>
      </c>
      <c r="I15" s="126">
        <f t="shared" si="0"/>
        <v>0.14000000000000001</v>
      </c>
      <c r="J15" s="126">
        <f t="shared" si="0"/>
        <v>0.14000000000000001</v>
      </c>
      <c r="K15" s="126">
        <f t="shared" si="0"/>
        <v>0.14000000000000001</v>
      </c>
      <c r="L15" s="126">
        <f t="shared" si="0"/>
        <v>0.14000000000000001</v>
      </c>
      <c r="M15" s="126">
        <f t="shared" si="0"/>
        <v>0.14000000000000001</v>
      </c>
      <c r="N15" s="126">
        <f t="shared" si="0"/>
        <v>0.14000000000000001</v>
      </c>
      <c r="O15" s="129">
        <f>'SET SP Sta.Mría'!J9</f>
        <v>0.14000000000000001</v>
      </c>
      <c r="V15" s="9"/>
      <c r="W15" s="10"/>
      <c r="X15" s="10"/>
    </row>
    <row r="16" spans="1:24" ht="17.25" customHeight="1" x14ac:dyDescent="0.25">
      <c r="A16" s="240" t="s">
        <v>272</v>
      </c>
      <c r="B16" s="241"/>
      <c r="C16" s="126">
        <f t="shared" ref="C16:N16" si="1">$O$16</f>
        <v>1</v>
      </c>
      <c r="D16" s="126">
        <f t="shared" si="1"/>
        <v>1</v>
      </c>
      <c r="E16" s="126">
        <f t="shared" si="1"/>
        <v>1</v>
      </c>
      <c r="F16" s="126">
        <f t="shared" si="1"/>
        <v>1</v>
      </c>
      <c r="G16" s="126">
        <f t="shared" si="1"/>
        <v>1</v>
      </c>
      <c r="H16" s="126">
        <f t="shared" si="1"/>
        <v>1</v>
      </c>
      <c r="I16" s="126">
        <f t="shared" si="1"/>
        <v>1</v>
      </c>
      <c r="J16" s="126">
        <f t="shared" si="1"/>
        <v>1</v>
      </c>
      <c r="K16" s="126">
        <f t="shared" si="1"/>
        <v>1</v>
      </c>
      <c r="L16" s="126">
        <f t="shared" si="1"/>
        <v>1</v>
      </c>
      <c r="M16" s="126">
        <f t="shared" si="1"/>
        <v>1</v>
      </c>
      <c r="N16" s="126">
        <f t="shared" si="1"/>
        <v>1</v>
      </c>
      <c r="O16" s="129">
        <f>'SET SP Sta.Mría'!K9</f>
        <v>1</v>
      </c>
      <c r="V16" s="9"/>
      <c r="W16" s="10"/>
      <c r="X16" s="10"/>
    </row>
    <row r="17" spans="1:24" ht="17.25" customHeight="1" x14ac:dyDescent="0.25">
      <c r="A17" s="244" t="s">
        <v>264</v>
      </c>
      <c r="B17" s="245"/>
      <c r="C17" s="12">
        <f t="shared" ref="C17:O17" si="2">IF((C20),C19/C20,"-")</f>
        <v>0.16</v>
      </c>
      <c r="D17" s="12">
        <f t="shared" si="2"/>
        <v>0.16</v>
      </c>
      <c r="E17" s="12">
        <f t="shared" si="2"/>
        <v>0.16</v>
      </c>
      <c r="F17" s="12">
        <f t="shared" si="2"/>
        <v>0.16</v>
      </c>
      <c r="G17" s="12">
        <f t="shared" si="2"/>
        <v>0.16</v>
      </c>
      <c r="H17" s="12">
        <f t="shared" si="2"/>
        <v>0.16</v>
      </c>
      <c r="I17" s="12">
        <f t="shared" si="2"/>
        <v>0.16</v>
      </c>
      <c r="J17" s="12">
        <f t="shared" si="2"/>
        <v>0.16</v>
      </c>
      <c r="K17" s="12">
        <f t="shared" si="2"/>
        <v>0.16</v>
      </c>
      <c r="L17" s="12">
        <f t="shared" si="2"/>
        <v>0.16</v>
      </c>
      <c r="M17" s="12">
        <f t="shared" si="2"/>
        <v>0.16</v>
      </c>
      <c r="N17" s="12">
        <f t="shared" si="2"/>
        <v>0.16</v>
      </c>
      <c r="O17" s="13">
        <f t="shared" si="2"/>
        <v>0.16</v>
      </c>
      <c r="V17" s="9"/>
      <c r="W17" s="10"/>
      <c r="X17" s="10"/>
    </row>
    <row r="18" spans="1:24" ht="17.25" customHeight="1" x14ac:dyDescent="0.25">
      <c r="A18" s="246" t="s">
        <v>37</v>
      </c>
      <c r="B18" s="40" t="s">
        <v>172</v>
      </c>
      <c r="C18" s="58">
        <v>1600000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0</v>
      </c>
      <c r="O18" s="60">
        <f>SUM(C18:N18)</f>
        <v>1600000</v>
      </c>
      <c r="V18" s="9"/>
      <c r="W18" s="10"/>
      <c r="X18" s="10"/>
    </row>
    <row r="19" spans="1:24" ht="17.25" customHeight="1" x14ac:dyDescent="0.25">
      <c r="A19" s="246"/>
      <c r="B19" s="40" t="s">
        <v>173</v>
      </c>
      <c r="C19" s="58">
        <f>C18</f>
        <v>1600000</v>
      </c>
      <c r="D19" s="58">
        <f>C19+D18</f>
        <v>1600000</v>
      </c>
      <c r="E19" s="58">
        <f t="shared" ref="E19:J19" si="3">D19+E18</f>
        <v>1600000</v>
      </c>
      <c r="F19" s="58">
        <f t="shared" si="3"/>
        <v>1600000</v>
      </c>
      <c r="G19" s="58">
        <f t="shared" si="3"/>
        <v>1600000</v>
      </c>
      <c r="H19" s="58">
        <f t="shared" si="3"/>
        <v>1600000</v>
      </c>
      <c r="I19" s="58">
        <f t="shared" si="3"/>
        <v>1600000</v>
      </c>
      <c r="J19" s="58">
        <f t="shared" si="3"/>
        <v>1600000</v>
      </c>
      <c r="K19" s="58">
        <f t="shared" ref="K19" si="4">J19+K18</f>
        <v>1600000</v>
      </c>
      <c r="L19" s="58">
        <f t="shared" ref="L19" si="5">K19+L18</f>
        <v>1600000</v>
      </c>
      <c r="M19" s="58">
        <f t="shared" ref="M19" si="6">L19+M18</f>
        <v>1600000</v>
      </c>
      <c r="N19" s="58">
        <f t="shared" ref="N19" si="7">M19+N18</f>
        <v>1600000</v>
      </c>
      <c r="O19" s="60">
        <f>MAX(C19:N19)</f>
        <v>1600000</v>
      </c>
      <c r="V19" s="9"/>
      <c r="W19" s="10"/>
      <c r="X19" s="10"/>
    </row>
    <row r="20" spans="1:24" ht="13.5" customHeight="1" x14ac:dyDescent="0.25">
      <c r="A20" s="246"/>
      <c r="B20" s="40" t="s">
        <v>135</v>
      </c>
      <c r="C20" s="58">
        <v>10000000</v>
      </c>
      <c r="D20" s="58">
        <f>+C20</f>
        <v>10000000</v>
      </c>
      <c r="E20" s="58">
        <f t="shared" ref="E20:J20" si="8">+D20</f>
        <v>10000000</v>
      </c>
      <c r="F20" s="58">
        <f t="shared" si="8"/>
        <v>10000000</v>
      </c>
      <c r="G20" s="58">
        <f t="shared" si="8"/>
        <v>10000000</v>
      </c>
      <c r="H20" s="58">
        <f t="shared" si="8"/>
        <v>10000000</v>
      </c>
      <c r="I20" s="58">
        <f t="shared" si="8"/>
        <v>10000000</v>
      </c>
      <c r="J20" s="58">
        <f t="shared" si="8"/>
        <v>10000000</v>
      </c>
      <c r="K20" s="58">
        <f t="shared" ref="K20" si="9">+J20</f>
        <v>10000000</v>
      </c>
      <c r="L20" s="58">
        <f t="shared" ref="L20" si="10">+K20</f>
        <v>10000000</v>
      </c>
      <c r="M20" s="58">
        <f t="shared" ref="M20" si="11">+L20</f>
        <v>10000000</v>
      </c>
      <c r="N20" s="58">
        <f t="shared" ref="N20" si="12">+M20</f>
        <v>10000000</v>
      </c>
      <c r="O20" s="60">
        <f>MAX(C20:N20)</f>
        <v>10000000</v>
      </c>
      <c r="V20" s="9"/>
      <c r="W20" s="10"/>
      <c r="X20" s="10"/>
    </row>
    <row r="21" spans="1:24" ht="17.25" customHeight="1" x14ac:dyDescent="0.25">
      <c r="A21" s="246"/>
      <c r="B21" s="9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19"/>
      <c r="V21" s="9"/>
      <c r="W21" s="10"/>
      <c r="X21" s="10"/>
    </row>
    <row r="22" spans="1:24" ht="18" customHeight="1" thickBot="1" x14ac:dyDescent="0.3">
      <c r="A22" s="247"/>
      <c r="B22" s="94" t="s">
        <v>3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20"/>
      <c r="V22" s="9"/>
      <c r="W22" s="10"/>
      <c r="X22" s="10"/>
    </row>
    <row r="23" spans="1:24" ht="14.25" customHeight="1" thickBot="1" x14ac:dyDescent="0.3">
      <c r="A23" s="248" t="s">
        <v>34</v>
      </c>
      <c r="B23" s="249"/>
      <c r="C23" s="250"/>
      <c r="D23" s="237" t="str">
        <f>'SET SP Sta.Mría'!$G9</f>
        <v>Entre 80% y 100%</v>
      </c>
      <c r="E23" s="238"/>
      <c r="F23" s="238"/>
      <c r="G23" s="239"/>
      <c r="H23" s="237" t="str">
        <f>'SET SP Sta.Mría'!$H9</f>
        <v>Entre 60% y 79%</v>
      </c>
      <c r="I23" s="238"/>
      <c r="J23" s="238"/>
      <c r="K23" s="239"/>
      <c r="L23" s="237" t="str">
        <f>'SET SP Sta.Mría'!$I9</f>
        <v>Menor al 59%</v>
      </c>
      <c r="M23" s="242"/>
      <c r="N23" s="242"/>
      <c r="O23" s="243"/>
      <c r="V23" s="9"/>
      <c r="W23" s="10"/>
      <c r="X23" s="10"/>
    </row>
    <row r="24" spans="1:24" ht="33" customHeight="1" thickBot="1" x14ac:dyDescent="0.3">
      <c r="A24" s="251"/>
      <c r="B24" s="252"/>
      <c r="C24" s="252"/>
      <c r="D24" s="253" t="s">
        <v>7</v>
      </c>
      <c r="E24" s="253"/>
      <c r="F24" s="253"/>
      <c r="G24" s="253"/>
      <c r="H24" s="254" t="s">
        <v>61</v>
      </c>
      <c r="I24" s="254"/>
      <c r="J24" s="254"/>
      <c r="K24" s="254"/>
      <c r="L24" s="215" t="s">
        <v>62</v>
      </c>
      <c r="M24" s="215"/>
      <c r="N24" s="215"/>
      <c r="O24" s="216"/>
      <c r="V24" s="9"/>
      <c r="W24" s="10"/>
      <c r="X24" s="10"/>
    </row>
    <row r="25" spans="1:24" ht="15.75" customHeight="1" thickBot="1" x14ac:dyDescent="0.3">
      <c r="A25" s="217" t="s">
        <v>36</v>
      </c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9"/>
      <c r="V25" s="9"/>
      <c r="W25" s="10"/>
      <c r="X25" s="10"/>
    </row>
    <row r="26" spans="1:24" ht="264.75" customHeight="1" thickBot="1" x14ac:dyDescent="0.3">
      <c r="A26" s="234"/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6"/>
      <c r="V26" s="9"/>
    </row>
    <row r="27" spans="1:24" ht="15" customHeight="1" x14ac:dyDescent="0.25">
      <c r="A27" s="206" t="s">
        <v>58</v>
      </c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8" t="s">
        <v>60</v>
      </c>
      <c r="O27" s="209"/>
    </row>
    <row r="28" spans="1:24" ht="15" customHeight="1" x14ac:dyDescent="0.25">
      <c r="A28" s="167" t="s">
        <v>284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9">
        <v>43101</v>
      </c>
      <c r="O28" s="170"/>
    </row>
    <row r="29" spans="1:24" ht="15" customHeight="1" x14ac:dyDescent="0.25">
      <c r="A29" s="167" t="s">
        <v>284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9">
        <v>43132</v>
      </c>
      <c r="O29" s="170"/>
    </row>
    <row r="30" spans="1:24" ht="15" customHeight="1" x14ac:dyDescent="0.25">
      <c r="A30" s="167" t="s">
        <v>284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9">
        <v>43160</v>
      </c>
      <c r="O30" s="170"/>
    </row>
    <row r="31" spans="1:24" ht="15" customHeight="1" x14ac:dyDescent="0.25">
      <c r="A31" s="167" t="s">
        <v>284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9">
        <v>43191</v>
      </c>
      <c r="O31" s="170"/>
    </row>
    <row r="32" spans="1:24" ht="15" customHeight="1" x14ac:dyDescent="0.25">
      <c r="A32" s="167" t="s">
        <v>284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9">
        <v>43221</v>
      </c>
      <c r="O32" s="170"/>
    </row>
    <row r="33" spans="1:15" ht="15" customHeight="1" x14ac:dyDescent="0.25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9">
        <v>43252</v>
      </c>
      <c r="O33" s="170"/>
    </row>
    <row r="34" spans="1:15" ht="15" customHeight="1" x14ac:dyDescent="0.25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9">
        <v>43282</v>
      </c>
      <c r="O34" s="170"/>
    </row>
    <row r="35" spans="1:15" ht="15" customHeight="1" x14ac:dyDescent="0.25">
      <c r="A35" s="167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9">
        <v>43313</v>
      </c>
      <c r="O35" s="170"/>
    </row>
    <row r="36" spans="1:15" ht="15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9">
        <v>43344</v>
      </c>
      <c r="O36" s="170"/>
    </row>
    <row r="37" spans="1:15" ht="15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9">
        <v>43374</v>
      </c>
      <c r="O37" s="170"/>
    </row>
    <row r="38" spans="1:15" ht="15" customHeight="1" x14ac:dyDescent="0.25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9">
        <v>43405</v>
      </c>
      <c r="O38" s="170"/>
    </row>
    <row r="39" spans="1:15" ht="15" customHeight="1" thickBot="1" x14ac:dyDescent="0.3">
      <c r="A39" s="167"/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9">
        <v>43435</v>
      </c>
      <c r="O39" s="170"/>
    </row>
    <row r="40" spans="1:15" ht="19.5" customHeight="1" x14ac:dyDescent="0.25">
      <c r="A40" s="206" t="s">
        <v>59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8" t="s">
        <v>60</v>
      </c>
      <c r="O40" s="209"/>
    </row>
    <row r="41" spans="1:15" ht="14.25" customHeight="1" x14ac:dyDescent="0.25">
      <c r="A41" s="167" t="s">
        <v>268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9">
        <v>43101</v>
      </c>
      <c r="O41" s="170"/>
    </row>
    <row r="42" spans="1:15" ht="14.25" customHeight="1" x14ac:dyDescent="0.25">
      <c r="A42" s="167" t="s">
        <v>268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9">
        <v>43132</v>
      </c>
      <c r="O42" s="170"/>
    </row>
    <row r="43" spans="1:15" ht="14.25" customHeight="1" x14ac:dyDescent="0.25">
      <c r="A43" s="167" t="s">
        <v>268</v>
      </c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9">
        <v>43160</v>
      </c>
      <c r="O43" s="170"/>
    </row>
    <row r="44" spans="1:15" ht="14.25" customHeight="1" x14ac:dyDescent="0.25">
      <c r="A44" s="167" t="s">
        <v>268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9">
        <v>43191</v>
      </c>
      <c r="O44" s="170"/>
    </row>
    <row r="45" spans="1:15" ht="14.25" customHeight="1" x14ac:dyDescent="0.25">
      <c r="A45" s="167" t="s">
        <v>268</v>
      </c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9">
        <v>43221</v>
      </c>
      <c r="O45" s="170"/>
    </row>
    <row r="46" spans="1:15" ht="15.75" thickBot="1" x14ac:dyDescent="0.3">
      <c r="A46" s="267"/>
      <c r="B46" s="268"/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169"/>
      <c r="O46" s="170"/>
    </row>
    <row r="47" spans="1:15" ht="5.25" customHeight="1" x14ac:dyDescent="0.25">
      <c r="A47" s="255"/>
      <c r="B47" s="255"/>
      <c r="C47" s="255"/>
      <c r="D47" s="255"/>
      <c r="E47" s="255"/>
      <c r="F47" s="255"/>
      <c r="G47" s="255"/>
      <c r="H47" s="255"/>
      <c r="I47" s="255"/>
      <c r="J47" s="255"/>
      <c r="K47" s="255"/>
      <c r="L47" s="255"/>
      <c r="M47" s="255"/>
      <c r="N47" s="255"/>
      <c r="O47" s="255"/>
    </row>
    <row r="49" spans="17:17" ht="14.25" x14ac:dyDescent="0.2">
      <c r="Q49" s="49" t="s">
        <v>81</v>
      </c>
    </row>
    <row r="50" spans="17:17" ht="14.25" x14ac:dyDescent="0.2">
      <c r="Q50" s="49" t="s">
        <v>82</v>
      </c>
    </row>
    <row r="51" spans="17:17" ht="14.25" x14ac:dyDescent="0.2">
      <c r="Q51" s="49" t="s">
        <v>83</v>
      </c>
    </row>
    <row r="52" spans="17:17" ht="14.25" x14ac:dyDescent="0.2">
      <c r="Q52" s="49" t="s">
        <v>84</v>
      </c>
    </row>
    <row r="53" spans="17:17" ht="14.25" x14ac:dyDescent="0.2">
      <c r="Q53" s="49" t="s">
        <v>85</v>
      </c>
    </row>
    <row r="54" spans="17:17" ht="14.25" x14ac:dyDescent="0.2">
      <c r="Q54" s="49" t="s">
        <v>86</v>
      </c>
    </row>
    <row r="55" spans="17:17" ht="14.25" x14ac:dyDescent="0.2">
      <c r="Q55" s="49" t="s">
        <v>87</v>
      </c>
    </row>
    <row r="56" spans="17:17" ht="14.25" x14ac:dyDescent="0.2">
      <c r="Q56" s="49" t="s">
        <v>88</v>
      </c>
    </row>
    <row r="57" spans="17:17" ht="14.25" x14ac:dyDescent="0.2">
      <c r="Q57" s="49" t="s">
        <v>89</v>
      </c>
    </row>
    <row r="58" spans="17:17" ht="14.25" x14ac:dyDescent="0.2">
      <c r="Q58" s="49" t="s">
        <v>90</v>
      </c>
    </row>
    <row r="59" spans="17:17" ht="14.25" x14ac:dyDescent="0.2">
      <c r="Q59" s="49" t="s">
        <v>91</v>
      </c>
    </row>
    <row r="60" spans="17:17" ht="14.25" x14ac:dyDescent="0.2">
      <c r="Q60" s="49" t="s">
        <v>92</v>
      </c>
    </row>
    <row r="61" spans="17:17" ht="14.25" x14ac:dyDescent="0.2">
      <c r="Q61" s="49" t="s">
        <v>93</v>
      </c>
    </row>
    <row r="63" spans="17:17" x14ac:dyDescent="0.25">
      <c r="Q63" s="44">
        <v>0.92</v>
      </c>
    </row>
    <row r="64" spans="17:17" x14ac:dyDescent="0.25">
      <c r="Q64" s="44">
        <v>1</v>
      </c>
    </row>
  </sheetData>
  <mergeCells count="82">
    <mergeCell ref="A47:O47"/>
    <mergeCell ref="A1:C2"/>
    <mergeCell ref="D1:O1"/>
    <mergeCell ref="D2:O2"/>
    <mergeCell ref="A6:E6"/>
    <mergeCell ref="G6:O6"/>
    <mergeCell ref="A5:E5"/>
    <mergeCell ref="A3:E3"/>
    <mergeCell ref="F3:O3"/>
    <mergeCell ref="A4:E4"/>
    <mergeCell ref="F4:O4"/>
    <mergeCell ref="F5:O5"/>
    <mergeCell ref="A25:O25"/>
    <mergeCell ref="A26:O26"/>
    <mergeCell ref="H23:K23"/>
    <mergeCell ref="A23:C24"/>
    <mergeCell ref="D24:G24"/>
    <mergeCell ref="H24:K24"/>
    <mergeCell ref="L24:O24"/>
    <mergeCell ref="N8:O8"/>
    <mergeCell ref="J7:K8"/>
    <mergeCell ref="L7:O7"/>
    <mergeCell ref="L8:M8"/>
    <mergeCell ref="A7:D8"/>
    <mergeCell ref="E7:E8"/>
    <mergeCell ref="F7:G8"/>
    <mergeCell ref="H7:H8"/>
    <mergeCell ref="I7:I8"/>
    <mergeCell ref="A14:B14"/>
    <mergeCell ref="A9:D9"/>
    <mergeCell ref="F9:G9"/>
    <mergeCell ref="L23:O23"/>
    <mergeCell ref="A16:B16"/>
    <mergeCell ref="A17:B17"/>
    <mergeCell ref="A18:A22"/>
    <mergeCell ref="A15:B15"/>
    <mergeCell ref="D23:G23"/>
    <mergeCell ref="J9:O9"/>
    <mergeCell ref="A10:O10"/>
    <mergeCell ref="A11:O11"/>
    <mergeCell ref="A12:O12"/>
    <mergeCell ref="A13:O13"/>
    <mergeCell ref="A46:M46"/>
    <mergeCell ref="N46:O46"/>
    <mergeCell ref="A27:M27"/>
    <mergeCell ref="N27:O27"/>
    <mergeCell ref="A40:M40"/>
    <mergeCell ref="N40:O40"/>
    <mergeCell ref="A41:M41"/>
    <mergeCell ref="N41:O41"/>
    <mergeCell ref="A28:M28"/>
    <mergeCell ref="N28:O28"/>
    <mergeCell ref="A29:M29"/>
    <mergeCell ref="N29:O29"/>
    <mergeCell ref="A30:M30"/>
    <mergeCell ref="N30:O30"/>
    <mergeCell ref="A31:M31"/>
    <mergeCell ref="N31:O31"/>
    <mergeCell ref="A32:M32"/>
    <mergeCell ref="N32:O32"/>
    <mergeCell ref="A33:M33"/>
    <mergeCell ref="N33:O33"/>
    <mergeCell ref="A34:M34"/>
    <mergeCell ref="N34:O34"/>
    <mergeCell ref="A35:M35"/>
    <mergeCell ref="N35:O35"/>
    <mergeCell ref="A39:M39"/>
    <mergeCell ref="N39:O39"/>
    <mergeCell ref="A36:M36"/>
    <mergeCell ref="N36:O36"/>
    <mergeCell ref="A37:M37"/>
    <mergeCell ref="N37:O37"/>
    <mergeCell ref="A38:M38"/>
    <mergeCell ref="N38:O38"/>
    <mergeCell ref="A42:M42"/>
    <mergeCell ref="A43:M43"/>
    <mergeCell ref="A44:M44"/>
    <mergeCell ref="A45:M45"/>
    <mergeCell ref="N42:O42"/>
    <mergeCell ref="N43:O43"/>
    <mergeCell ref="N44:O44"/>
    <mergeCell ref="N45:O45"/>
  </mergeCells>
  <dataValidations count="1">
    <dataValidation type="list" allowBlank="1" showInputMessage="1" showErrorMessage="1" sqref="J9:O9">
      <formula1>$Q$49:$Q$61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9"/>
  <sheetViews>
    <sheetView topLeftCell="A25" zoomScaleSheetLayoutView="72" workbookViewId="0">
      <selection activeCell="A27" sqref="A27:M31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7" style="3" customWidth="1"/>
    <col min="17" max="18" width="7" style="3" hidden="1" customWidth="1"/>
    <col min="19" max="19" width="7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75"/>
      <c r="B1" s="176"/>
      <c r="C1" s="177"/>
      <c r="D1" s="171" t="s">
        <v>20</v>
      </c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2"/>
    </row>
    <row r="2" spans="1:24" ht="15.75" customHeight="1" thickBot="1" x14ac:dyDescent="0.3">
      <c r="A2" s="178"/>
      <c r="B2" s="179"/>
      <c r="C2" s="180"/>
      <c r="D2" s="173" t="s">
        <v>67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4"/>
    </row>
    <row r="3" spans="1:24" ht="13.5" customHeight="1" x14ac:dyDescent="0.25">
      <c r="A3" s="181" t="s">
        <v>0</v>
      </c>
      <c r="B3" s="182"/>
      <c r="C3" s="182"/>
      <c r="D3" s="182"/>
      <c r="E3" s="182"/>
      <c r="F3" s="182" t="str">
        <f>'SET SP Sta.Mría'!J3</f>
        <v>GESTIÓN DE SERVICIOS PÚBLICOS - SANTA MARÍA</v>
      </c>
      <c r="G3" s="182"/>
      <c r="H3" s="182"/>
      <c r="I3" s="182"/>
      <c r="J3" s="182"/>
      <c r="K3" s="182"/>
      <c r="L3" s="182"/>
      <c r="M3" s="182"/>
      <c r="N3" s="182"/>
      <c r="O3" s="183"/>
    </row>
    <row r="4" spans="1:24" ht="15.75" customHeight="1" x14ac:dyDescent="0.25">
      <c r="A4" s="184" t="s">
        <v>1</v>
      </c>
      <c r="B4" s="185"/>
      <c r="C4" s="185"/>
      <c r="D4" s="185"/>
      <c r="E4" s="185"/>
      <c r="F4" s="186" t="str">
        <f>'SET SP Sta.Mría'!$B10</f>
        <v>Cobertura   (Acueducto)</v>
      </c>
      <c r="G4" s="186"/>
      <c r="H4" s="186"/>
      <c r="I4" s="186"/>
      <c r="J4" s="186"/>
      <c r="K4" s="186"/>
      <c r="L4" s="186"/>
      <c r="M4" s="186"/>
      <c r="N4" s="186"/>
      <c r="O4" s="256"/>
    </row>
    <row r="5" spans="1:24" ht="15.75" customHeight="1" x14ac:dyDescent="0.25">
      <c r="A5" s="184" t="s">
        <v>55</v>
      </c>
      <c r="B5" s="185"/>
      <c r="C5" s="185"/>
      <c r="D5" s="185"/>
      <c r="E5" s="185"/>
      <c r="F5" s="203" t="str">
        <f>'SET SP Sta.Mría'!F10</f>
        <v xml:space="preserve">Eficiencia </v>
      </c>
      <c r="G5" s="204"/>
      <c r="H5" s="204"/>
      <c r="I5" s="204"/>
      <c r="J5" s="204"/>
      <c r="K5" s="204"/>
      <c r="L5" s="204"/>
      <c r="M5" s="204"/>
      <c r="N5" s="204"/>
      <c r="O5" s="205"/>
    </row>
    <row r="6" spans="1:24" ht="17.25" customHeight="1" thickBot="1" x14ac:dyDescent="0.3">
      <c r="A6" s="189" t="s">
        <v>21</v>
      </c>
      <c r="B6" s="190"/>
      <c r="C6" s="190"/>
      <c r="D6" s="190"/>
      <c r="E6" s="190"/>
      <c r="F6" s="26" t="s">
        <v>94</v>
      </c>
      <c r="G6" s="191" t="str">
        <f>'SET SP Sta.Mría'!A10</f>
        <v>IN05</v>
      </c>
      <c r="H6" s="191"/>
      <c r="I6" s="191"/>
      <c r="J6" s="191"/>
      <c r="K6" s="191"/>
      <c r="L6" s="191"/>
      <c r="M6" s="191"/>
      <c r="N6" s="191"/>
      <c r="O6" s="260"/>
    </row>
    <row r="7" spans="1:24" ht="12.75" customHeight="1" x14ac:dyDescent="0.25">
      <c r="A7" s="194" t="s">
        <v>22</v>
      </c>
      <c r="B7" s="195"/>
      <c r="C7" s="195"/>
      <c r="D7" s="195"/>
      <c r="E7" s="198" t="s">
        <v>23</v>
      </c>
      <c r="F7" s="198" t="s">
        <v>24</v>
      </c>
      <c r="G7" s="198"/>
      <c r="H7" s="198" t="s">
        <v>25</v>
      </c>
      <c r="I7" s="198" t="s">
        <v>26</v>
      </c>
      <c r="J7" s="198" t="s">
        <v>27</v>
      </c>
      <c r="K7" s="198"/>
      <c r="L7" s="200" t="s">
        <v>28</v>
      </c>
      <c r="M7" s="200"/>
      <c r="N7" s="200"/>
      <c r="O7" s="201"/>
    </row>
    <row r="8" spans="1:24" ht="46.5" customHeight="1" x14ac:dyDescent="0.25">
      <c r="A8" s="196"/>
      <c r="B8" s="197"/>
      <c r="C8" s="197"/>
      <c r="D8" s="197"/>
      <c r="E8" s="199"/>
      <c r="F8" s="199"/>
      <c r="G8" s="199"/>
      <c r="H8" s="199"/>
      <c r="I8" s="199"/>
      <c r="J8" s="199"/>
      <c r="K8" s="199"/>
      <c r="L8" s="197" t="s">
        <v>29</v>
      </c>
      <c r="M8" s="197"/>
      <c r="N8" s="197" t="s">
        <v>30</v>
      </c>
      <c r="O8" s="202"/>
    </row>
    <row r="9" spans="1:24" ht="57" customHeight="1" thickBot="1" x14ac:dyDescent="0.3">
      <c r="A9" s="210" t="str">
        <f>'SET SP Sta.Mría'!$C10</f>
        <v xml:space="preserve">Medir el grado de cobertura en   la prestación del servicio de acueducto administrado por Aguas del Huila. </v>
      </c>
      <c r="B9" s="211"/>
      <c r="C9" s="211"/>
      <c r="D9" s="211"/>
      <c r="E9" s="17" t="s">
        <v>35</v>
      </c>
      <c r="F9" s="211" t="str">
        <f>'SET SP Sta.Mría'!$D10</f>
        <v xml:space="preserve">(Número de Suscriptores servicio de acueducto / Número de Domicilios) x 100% </v>
      </c>
      <c r="G9" s="211"/>
      <c r="H9" s="14">
        <f>$O16</f>
        <v>1</v>
      </c>
      <c r="I9" s="37" t="str">
        <f>'SET SP Sta.Mría'!$E10</f>
        <v>Trimestral</v>
      </c>
      <c r="J9" s="212" t="s">
        <v>89</v>
      </c>
      <c r="K9" s="213"/>
      <c r="L9" s="213"/>
      <c r="M9" s="213"/>
      <c r="N9" s="213"/>
      <c r="O9" s="214"/>
    </row>
    <row r="10" spans="1:24" ht="13.5" customHeight="1" x14ac:dyDescent="0.25">
      <c r="A10" s="220" t="s">
        <v>38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2"/>
    </row>
    <row r="11" spans="1:24" ht="21.75" customHeight="1" thickBot="1" x14ac:dyDescent="0.3">
      <c r="A11" s="223"/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5"/>
    </row>
    <row r="12" spans="1:24" ht="15" customHeight="1" thickBot="1" x14ac:dyDescent="0.3">
      <c r="A12" s="269" t="s">
        <v>31</v>
      </c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1"/>
      <c r="V12" s="9"/>
      <c r="W12" s="38"/>
      <c r="X12" s="38"/>
    </row>
    <row r="13" spans="1:24" ht="16.5" customHeight="1" x14ac:dyDescent="0.25">
      <c r="A13" s="229" t="s">
        <v>273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1"/>
      <c r="V13" s="9"/>
      <c r="W13" s="10"/>
      <c r="X13" s="10"/>
    </row>
    <row r="14" spans="1:24" ht="16.5" customHeight="1" x14ac:dyDescent="0.25">
      <c r="A14" s="232" t="s">
        <v>32</v>
      </c>
      <c r="B14" s="233"/>
      <c r="C14" s="93" t="s">
        <v>8</v>
      </c>
      <c r="D14" s="93" t="s">
        <v>9</v>
      </c>
      <c r="E14" s="93" t="s">
        <v>10</v>
      </c>
      <c r="F14" s="93" t="s">
        <v>11</v>
      </c>
      <c r="G14" s="93" t="s">
        <v>12</v>
      </c>
      <c r="H14" s="93" t="s">
        <v>13</v>
      </c>
      <c r="I14" s="93" t="s">
        <v>14</v>
      </c>
      <c r="J14" s="93" t="s">
        <v>15</v>
      </c>
      <c r="K14" s="93" t="s">
        <v>16</v>
      </c>
      <c r="L14" s="93" t="s">
        <v>17</v>
      </c>
      <c r="M14" s="93" t="s">
        <v>18</v>
      </c>
      <c r="N14" s="93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40" t="s">
        <v>39</v>
      </c>
      <c r="B15" s="241"/>
      <c r="C15" s="124">
        <f t="shared" ref="C15:N15" si="0">$O$15</f>
        <v>0.99</v>
      </c>
      <c r="D15" s="124">
        <f t="shared" si="0"/>
        <v>0.99</v>
      </c>
      <c r="E15" s="124">
        <f t="shared" si="0"/>
        <v>0.99</v>
      </c>
      <c r="F15" s="124">
        <f t="shared" si="0"/>
        <v>0.99</v>
      </c>
      <c r="G15" s="124">
        <f t="shared" si="0"/>
        <v>0.99</v>
      </c>
      <c r="H15" s="124">
        <f t="shared" si="0"/>
        <v>0.99</v>
      </c>
      <c r="I15" s="124">
        <f t="shared" si="0"/>
        <v>0.99</v>
      </c>
      <c r="J15" s="124">
        <f t="shared" si="0"/>
        <v>0.99</v>
      </c>
      <c r="K15" s="124">
        <f t="shared" si="0"/>
        <v>0.99</v>
      </c>
      <c r="L15" s="124">
        <f t="shared" si="0"/>
        <v>0.99</v>
      </c>
      <c r="M15" s="124">
        <f t="shared" si="0"/>
        <v>0.99</v>
      </c>
      <c r="N15" s="124">
        <f t="shared" si="0"/>
        <v>0.99</v>
      </c>
      <c r="O15" s="130">
        <f>'SET SP Sta.Mría'!J10</f>
        <v>0.99</v>
      </c>
      <c r="V15" s="9"/>
      <c r="W15" s="10"/>
      <c r="X15" s="10"/>
    </row>
    <row r="16" spans="1:24" ht="17.25" customHeight="1" x14ac:dyDescent="0.25">
      <c r="A16" s="240" t="s">
        <v>272</v>
      </c>
      <c r="B16" s="241"/>
      <c r="C16" s="124">
        <f t="shared" ref="C16:N16" si="1">$O$16</f>
        <v>1</v>
      </c>
      <c r="D16" s="124">
        <f t="shared" si="1"/>
        <v>1</v>
      </c>
      <c r="E16" s="124">
        <f t="shared" si="1"/>
        <v>1</v>
      </c>
      <c r="F16" s="124">
        <f t="shared" si="1"/>
        <v>1</v>
      </c>
      <c r="G16" s="124">
        <f t="shared" si="1"/>
        <v>1</v>
      </c>
      <c r="H16" s="124">
        <f t="shared" si="1"/>
        <v>1</v>
      </c>
      <c r="I16" s="124">
        <f t="shared" si="1"/>
        <v>1</v>
      </c>
      <c r="J16" s="124">
        <f t="shared" si="1"/>
        <v>1</v>
      </c>
      <c r="K16" s="124">
        <f t="shared" si="1"/>
        <v>1</v>
      </c>
      <c r="L16" s="124">
        <f t="shared" si="1"/>
        <v>1</v>
      </c>
      <c r="M16" s="124">
        <f t="shared" si="1"/>
        <v>1</v>
      </c>
      <c r="N16" s="124">
        <f t="shared" si="1"/>
        <v>1</v>
      </c>
      <c r="O16" s="130">
        <f>'SET SP Sta.Mría'!K10</f>
        <v>1</v>
      </c>
      <c r="V16" s="9"/>
      <c r="W16" s="10"/>
      <c r="X16" s="10"/>
    </row>
    <row r="17" spans="1:24" ht="17.25" customHeight="1" x14ac:dyDescent="0.25">
      <c r="A17" s="244" t="s">
        <v>264</v>
      </c>
      <c r="B17" s="245"/>
      <c r="C17" s="12">
        <f t="shared" ref="C17:E17" si="2">IF((C19),C18/C19,"-")</f>
        <v>0.98707753479125249</v>
      </c>
      <c r="D17" s="12">
        <f t="shared" si="2"/>
        <v>0.98709036742800393</v>
      </c>
      <c r="E17" s="12">
        <f t="shared" si="2"/>
        <v>0.98710317460317465</v>
      </c>
      <c r="F17" s="12">
        <f>IF((F19),F18/F19,"-")</f>
        <v>0.98710317460317465</v>
      </c>
      <c r="G17" s="12">
        <f t="shared" ref="G17:O17" si="3">IF((G19),G18/G19,"-")</f>
        <v>0.98710317460317465</v>
      </c>
      <c r="H17" s="12">
        <f t="shared" si="3"/>
        <v>0.98712871287128712</v>
      </c>
      <c r="I17" s="12">
        <f t="shared" si="3"/>
        <v>0.98715415019762842</v>
      </c>
      <c r="J17" s="12">
        <f t="shared" si="3"/>
        <v>0.98725490196078436</v>
      </c>
      <c r="K17" s="12">
        <f t="shared" si="3"/>
        <v>0.98727984344422703</v>
      </c>
      <c r="L17" s="12">
        <f t="shared" si="3"/>
        <v>0.98729227761485827</v>
      </c>
      <c r="M17" s="12">
        <f t="shared" si="3"/>
        <v>0.9873170731707317</v>
      </c>
      <c r="N17" s="12">
        <f t="shared" si="3"/>
        <v>0.98734177215189878</v>
      </c>
      <c r="O17" s="13">
        <f t="shared" si="3"/>
        <v>0.98718791064388967</v>
      </c>
      <c r="V17" s="9"/>
      <c r="W17" s="10"/>
      <c r="X17" s="10"/>
    </row>
    <row r="18" spans="1:24" ht="21.75" customHeight="1" x14ac:dyDescent="0.25">
      <c r="A18" s="246" t="s">
        <v>37</v>
      </c>
      <c r="B18" s="40" t="s">
        <v>259</v>
      </c>
      <c r="C18" s="23">
        <f>+'STA MARIA-18'!D$6</f>
        <v>993</v>
      </c>
      <c r="D18" s="23">
        <f>+'STA MARIA-18'!E$6</f>
        <v>994</v>
      </c>
      <c r="E18" s="23">
        <f>+'STA MARIA-18'!F$6</f>
        <v>995</v>
      </c>
      <c r="F18" s="23">
        <f>+'STA MARIA-18'!G$6</f>
        <v>995</v>
      </c>
      <c r="G18" s="23">
        <f>+'STA MARIA-18'!H$6</f>
        <v>995</v>
      </c>
      <c r="H18" s="23">
        <f>+'STA MARIA-18'!I$6</f>
        <v>997</v>
      </c>
      <c r="I18" s="23">
        <f>+'STA MARIA-18'!J$6</f>
        <v>999</v>
      </c>
      <c r="J18" s="23">
        <f>+'STA MARIA-18'!K$6</f>
        <v>1007</v>
      </c>
      <c r="K18" s="23">
        <f>+'STA MARIA-18'!L$6</f>
        <v>1009</v>
      </c>
      <c r="L18" s="23">
        <f>+'STA MARIA-18'!M$6</f>
        <v>1010</v>
      </c>
      <c r="M18" s="23">
        <f>+'STA MARIA-18'!N$6</f>
        <v>1012</v>
      </c>
      <c r="N18" s="23">
        <f>+'STA MARIA-18'!O$6</f>
        <v>1014</v>
      </c>
      <c r="O18" s="24">
        <f>SUM(C18:N18)</f>
        <v>12020</v>
      </c>
      <c r="V18" s="9"/>
      <c r="W18" s="10"/>
      <c r="X18" s="10"/>
    </row>
    <row r="19" spans="1:24" ht="15.75" customHeight="1" x14ac:dyDescent="0.25">
      <c r="A19" s="246"/>
      <c r="B19" s="40" t="s">
        <v>137</v>
      </c>
      <c r="C19" s="23">
        <f>+'STA MARIA-18'!D$5</f>
        <v>1006</v>
      </c>
      <c r="D19" s="23">
        <f>+'STA MARIA-18'!E$5</f>
        <v>1007</v>
      </c>
      <c r="E19" s="23">
        <f>+'STA MARIA-18'!F$5</f>
        <v>1008</v>
      </c>
      <c r="F19" s="23">
        <f>+'STA MARIA-18'!G$5</f>
        <v>1008</v>
      </c>
      <c r="G19" s="23">
        <f>+'STA MARIA-18'!H$5</f>
        <v>1008</v>
      </c>
      <c r="H19" s="23">
        <f>+'STA MARIA-18'!I$5</f>
        <v>1010</v>
      </c>
      <c r="I19" s="23">
        <f>+'STA MARIA-18'!J$5</f>
        <v>1012</v>
      </c>
      <c r="J19" s="23">
        <f>+'STA MARIA-18'!K$5</f>
        <v>1020</v>
      </c>
      <c r="K19" s="23">
        <f>+'STA MARIA-18'!L$5</f>
        <v>1022</v>
      </c>
      <c r="L19" s="23">
        <f>+'STA MARIA-18'!M$5</f>
        <v>1023</v>
      </c>
      <c r="M19" s="23">
        <f>+'STA MARIA-18'!N$5</f>
        <v>1025</v>
      </c>
      <c r="N19" s="23">
        <f>+'STA MARIA-18'!O$5</f>
        <v>1027</v>
      </c>
      <c r="O19" s="24">
        <f>SUM(C19:N19)</f>
        <v>12176</v>
      </c>
      <c r="V19" s="9"/>
      <c r="W19" s="10"/>
      <c r="X19" s="10"/>
    </row>
    <row r="20" spans="1:24" ht="17.25" customHeight="1" x14ac:dyDescent="0.25">
      <c r="A20" s="246"/>
      <c r="B20" s="9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8" customHeight="1" thickBot="1" x14ac:dyDescent="0.3">
      <c r="A21" s="247"/>
      <c r="B21" s="94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248" t="s">
        <v>34</v>
      </c>
      <c r="B22" s="249"/>
      <c r="C22" s="250"/>
      <c r="D22" s="237" t="str">
        <f>'SET SP Sta.Mría'!$G10</f>
        <v>Entre 80% y 100%</v>
      </c>
      <c r="E22" s="238"/>
      <c r="F22" s="238"/>
      <c r="G22" s="239"/>
      <c r="H22" s="237" t="str">
        <f>'SET SP Sta.Mría'!$H10</f>
        <v>Entre 60% y 79%</v>
      </c>
      <c r="I22" s="238"/>
      <c r="J22" s="238"/>
      <c r="K22" s="239"/>
      <c r="L22" s="237" t="str">
        <f>'SET SP Sta.Mría'!$I10</f>
        <v>Menor al 59%</v>
      </c>
      <c r="M22" s="242"/>
      <c r="N22" s="242"/>
      <c r="O22" s="243"/>
      <c r="V22" s="9"/>
      <c r="W22" s="10"/>
      <c r="X22" s="10"/>
    </row>
    <row r="23" spans="1:24" ht="33" customHeight="1" thickBot="1" x14ac:dyDescent="0.3">
      <c r="A23" s="251"/>
      <c r="B23" s="252"/>
      <c r="C23" s="252"/>
      <c r="D23" s="253" t="s">
        <v>7</v>
      </c>
      <c r="E23" s="253"/>
      <c r="F23" s="253"/>
      <c r="G23" s="253"/>
      <c r="H23" s="254" t="s">
        <v>61</v>
      </c>
      <c r="I23" s="254"/>
      <c r="J23" s="254"/>
      <c r="K23" s="254"/>
      <c r="L23" s="215" t="s">
        <v>62</v>
      </c>
      <c r="M23" s="215"/>
      <c r="N23" s="215"/>
      <c r="O23" s="216"/>
      <c r="V23" s="9"/>
      <c r="W23" s="10"/>
      <c r="X23" s="10"/>
    </row>
    <row r="24" spans="1:24" ht="15.75" customHeight="1" thickBot="1" x14ac:dyDescent="0.3">
      <c r="A24" s="217" t="s">
        <v>36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9"/>
      <c r="V24" s="9"/>
      <c r="W24" s="10"/>
      <c r="X24" s="10"/>
    </row>
    <row r="25" spans="1:24" ht="264.75" customHeight="1" thickBot="1" x14ac:dyDescent="0.3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6"/>
      <c r="V25" s="9"/>
    </row>
    <row r="26" spans="1:24" ht="15" customHeight="1" x14ac:dyDescent="0.25">
      <c r="A26" s="206" t="s">
        <v>58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8" t="s">
        <v>60</v>
      </c>
      <c r="O26" s="209"/>
    </row>
    <row r="27" spans="1:24" ht="15" customHeight="1" x14ac:dyDescent="0.25">
      <c r="A27" s="167" t="s">
        <v>285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9">
        <v>43101</v>
      </c>
      <c r="O27" s="170"/>
    </row>
    <row r="28" spans="1:24" ht="15" customHeight="1" x14ac:dyDescent="0.25">
      <c r="A28" s="167" t="s">
        <v>285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9">
        <v>43132</v>
      </c>
      <c r="O28" s="170"/>
    </row>
    <row r="29" spans="1:24" ht="15" customHeight="1" x14ac:dyDescent="0.25">
      <c r="A29" s="167" t="s">
        <v>285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9">
        <v>43160</v>
      </c>
      <c r="O29" s="170"/>
    </row>
    <row r="30" spans="1:24" ht="15" customHeight="1" x14ac:dyDescent="0.25">
      <c r="A30" s="167" t="s">
        <v>285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9">
        <v>43191</v>
      </c>
      <c r="O30" s="170"/>
    </row>
    <row r="31" spans="1:24" ht="15" customHeight="1" x14ac:dyDescent="0.25">
      <c r="A31" s="167" t="s">
        <v>285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9">
        <v>43221</v>
      </c>
      <c r="O31" s="170"/>
    </row>
    <row r="32" spans="1:24" ht="15" customHeight="1" x14ac:dyDescent="0.25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9">
        <v>43252</v>
      </c>
      <c r="O32" s="170"/>
    </row>
    <row r="33" spans="1:17" ht="15" customHeight="1" x14ac:dyDescent="0.25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9">
        <v>43282</v>
      </c>
      <c r="O33" s="170"/>
    </row>
    <row r="34" spans="1:17" ht="15" customHeight="1" x14ac:dyDescent="0.25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9">
        <v>43313</v>
      </c>
      <c r="O34" s="170"/>
    </row>
    <row r="35" spans="1:17" ht="15" customHeight="1" x14ac:dyDescent="0.25">
      <c r="A35" s="167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9">
        <v>43344</v>
      </c>
      <c r="O35" s="170"/>
    </row>
    <row r="36" spans="1:17" ht="15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9">
        <v>43374</v>
      </c>
      <c r="O36" s="170"/>
    </row>
    <row r="37" spans="1:17" ht="15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9">
        <v>43405</v>
      </c>
      <c r="O37" s="170"/>
    </row>
    <row r="38" spans="1:17" ht="15" customHeight="1" thickBot="1" x14ac:dyDescent="0.3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9">
        <v>43435</v>
      </c>
      <c r="O38" s="170"/>
    </row>
    <row r="39" spans="1:17" ht="19.5" customHeight="1" x14ac:dyDescent="0.25">
      <c r="A39" s="206" t="s">
        <v>59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8" t="s">
        <v>60</v>
      </c>
      <c r="O39" s="209"/>
    </row>
    <row r="40" spans="1:17" ht="15" x14ac:dyDescent="0.25">
      <c r="A40" s="167" t="s">
        <v>3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272"/>
      <c r="O40" s="273"/>
    </row>
    <row r="41" spans="1:17" ht="15.75" thickBot="1" x14ac:dyDescent="0.3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8"/>
      <c r="O41" s="274"/>
    </row>
    <row r="42" spans="1:17" ht="6" customHeight="1" x14ac:dyDescent="0.25">
      <c r="A42" s="255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</row>
    <row r="44" spans="1:17" ht="14.25" x14ac:dyDescent="0.2">
      <c r="Q44" s="49" t="s">
        <v>81</v>
      </c>
    </row>
    <row r="45" spans="1:17" ht="14.25" x14ac:dyDescent="0.2">
      <c r="Q45" s="49" t="s">
        <v>82</v>
      </c>
    </row>
    <row r="46" spans="1:17" ht="14.25" x14ac:dyDescent="0.2">
      <c r="Q46" s="49" t="s">
        <v>83</v>
      </c>
    </row>
    <row r="47" spans="1:17" ht="14.25" x14ac:dyDescent="0.2">
      <c r="Q47" s="49" t="s">
        <v>84</v>
      </c>
    </row>
    <row r="48" spans="1:17" ht="14.25" x14ac:dyDescent="0.2">
      <c r="Q48" s="49" t="s">
        <v>85</v>
      </c>
    </row>
    <row r="49" spans="17:17" ht="14.25" x14ac:dyDescent="0.2">
      <c r="Q49" s="49" t="s">
        <v>86</v>
      </c>
    </row>
    <row r="50" spans="17:17" ht="14.25" x14ac:dyDescent="0.2">
      <c r="Q50" s="49" t="s">
        <v>87</v>
      </c>
    </row>
    <row r="51" spans="17:17" ht="14.25" x14ac:dyDescent="0.2">
      <c r="Q51" s="49" t="s">
        <v>88</v>
      </c>
    </row>
    <row r="52" spans="17:17" ht="14.25" x14ac:dyDescent="0.2">
      <c r="Q52" s="49" t="s">
        <v>89</v>
      </c>
    </row>
    <row r="53" spans="17:17" ht="14.25" x14ac:dyDescent="0.2">
      <c r="Q53" s="49" t="s">
        <v>90</v>
      </c>
    </row>
    <row r="54" spans="17:17" ht="14.25" x14ac:dyDescent="0.2">
      <c r="Q54" s="49" t="s">
        <v>91</v>
      </c>
    </row>
    <row r="55" spans="17:17" ht="14.25" x14ac:dyDescent="0.2">
      <c r="Q55" s="49" t="s">
        <v>92</v>
      </c>
    </row>
    <row r="56" spans="17:17" ht="14.25" x14ac:dyDescent="0.2">
      <c r="Q56" s="49" t="s">
        <v>93</v>
      </c>
    </row>
    <row r="58" spans="17:17" x14ac:dyDescent="0.25">
      <c r="Q58" s="11">
        <v>0.92</v>
      </c>
    </row>
    <row r="59" spans="17:17" x14ac:dyDescent="0.25">
      <c r="Q59" s="11">
        <v>1</v>
      </c>
    </row>
  </sheetData>
  <mergeCells count="74">
    <mergeCell ref="A42:O42"/>
    <mergeCell ref="A25:O25"/>
    <mergeCell ref="H22:K22"/>
    <mergeCell ref="A22:C23"/>
    <mergeCell ref="D22:G22"/>
    <mergeCell ref="A24:O24"/>
    <mergeCell ref="A39:M39"/>
    <mergeCell ref="N39:O39"/>
    <mergeCell ref="A40:M40"/>
    <mergeCell ref="N40:O40"/>
    <mergeCell ref="A41:M41"/>
    <mergeCell ref="N41:O41"/>
    <mergeCell ref="A26:M26"/>
    <mergeCell ref="N26:O26"/>
    <mergeCell ref="A27:M27"/>
    <mergeCell ref="N27:O27"/>
    <mergeCell ref="A5:E5"/>
    <mergeCell ref="A16:B16"/>
    <mergeCell ref="A17:B17"/>
    <mergeCell ref="A18:A21"/>
    <mergeCell ref="A15:B15"/>
    <mergeCell ref="A10:O10"/>
    <mergeCell ref="J9:O9"/>
    <mergeCell ref="F5:O5"/>
    <mergeCell ref="A6:E6"/>
    <mergeCell ref="G6:O6"/>
    <mergeCell ref="A7:D8"/>
    <mergeCell ref="E7:E8"/>
    <mergeCell ref="F7:G8"/>
    <mergeCell ref="A12:O12"/>
    <mergeCell ref="A13:O13"/>
    <mergeCell ref="N8:O8"/>
    <mergeCell ref="A9:D9"/>
    <mergeCell ref="F9:G9"/>
    <mergeCell ref="L22:O22"/>
    <mergeCell ref="D23:G23"/>
    <mergeCell ref="H23:K23"/>
    <mergeCell ref="A11:O11"/>
    <mergeCell ref="A14:B14"/>
    <mergeCell ref="L23:O23"/>
    <mergeCell ref="I7:I8"/>
    <mergeCell ref="J7:K8"/>
    <mergeCell ref="L7:O7"/>
    <mergeCell ref="L8:M8"/>
    <mergeCell ref="H7:H8"/>
    <mergeCell ref="D1:O1"/>
    <mergeCell ref="D2:O2"/>
    <mergeCell ref="A3:E3"/>
    <mergeCell ref="F3:O3"/>
    <mergeCell ref="A4:E4"/>
    <mergeCell ref="F4:O4"/>
    <mergeCell ref="A1:C2"/>
    <mergeCell ref="A28:M28"/>
    <mergeCell ref="N28:O28"/>
    <mergeCell ref="A29:M29"/>
    <mergeCell ref="N29:O29"/>
    <mergeCell ref="A30:M30"/>
    <mergeCell ref="N30:O30"/>
    <mergeCell ref="A31:M31"/>
    <mergeCell ref="N31:O31"/>
    <mergeCell ref="A32:M32"/>
    <mergeCell ref="N32:O32"/>
    <mergeCell ref="A33:M33"/>
    <mergeCell ref="N33:O33"/>
    <mergeCell ref="A37:M37"/>
    <mergeCell ref="N37:O37"/>
    <mergeCell ref="A38:M38"/>
    <mergeCell ref="N38:O38"/>
    <mergeCell ref="A34:M34"/>
    <mergeCell ref="N34:O34"/>
    <mergeCell ref="A35:M35"/>
    <mergeCell ref="N35:O35"/>
    <mergeCell ref="A36:M36"/>
    <mergeCell ref="N36:O36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62"/>
  <sheetViews>
    <sheetView topLeftCell="A26" zoomScaleSheetLayoutView="72" workbookViewId="0">
      <selection activeCell="A44" sqref="A44:M44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7.140625" style="3" customWidth="1"/>
    <col min="17" max="18" width="7.140625" style="3" hidden="1" customWidth="1"/>
    <col min="19" max="19" width="7.14062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75"/>
      <c r="B1" s="176"/>
      <c r="C1" s="177"/>
      <c r="D1" s="171" t="s">
        <v>20</v>
      </c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2"/>
    </row>
    <row r="2" spans="1:24" ht="15.75" customHeight="1" thickBot="1" x14ac:dyDescent="0.3">
      <c r="A2" s="178"/>
      <c r="B2" s="179"/>
      <c r="C2" s="180"/>
      <c r="D2" s="173" t="s">
        <v>67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4"/>
    </row>
    <row r="3" spans="1:24" ht="13.5" customHeight="1" x14ac:dyDescent="0.25">
      <c r="A3" s="181" t="s">
        <v>0</v>
      </c>
      <c r="B3" s="182"/>
      <c r="C3" s="182"/>
      <c r="D3" s="182"/>
      <c r="E3" s="182"/>
      <c r="F3" s="182" t="str">
        <f>'SET SP Sta.Mría'!J3</f>
        <v>GESTIÓN DE SERVICIOS PÚBLICOS - SANTA MARÍA</v>
      </c>
      <c r="G3" s="182"/>
      <c r="H3" s="182"/>
      <c r="I3" s="182"/>
      <c r="J3" s="182"/>
      <c r="K3" s="182"/>
      <c r="L3" s="182"/>
      <c r="M3" s="182"/>
      <c r="N3" s="182"/>
      <c r="O3" s="183"/>
    </row>
    <row r="4" spans="1:24" ht="15.75" customHeight="1" x14ac:dyDescent="0.25">
      <c r="A4" s="184" t="s">
        <v>1</v>
      </c>
      <c r="B4" s="185"/>
      <c r="C4" s="185"/>
      <c r="D4" s="185"/>
      <c r="E4" s="185"/>
      <c r="F4" s="186" t="str">
        <f>'SET SP Sta.Mría'!$B11</f>
        <v>Cobertura   (Alcantarillado)</v>
      </c>
      <c r="G4" s="186"/>
      <c r="H4" s="186"/>
      <c r="I4" s="186"/>
      <c r="J4" s="186"/>
      <c r="K4" s="186"/>
      <c r="L4" s="186"/>
      <c r="M4" s="186"/>
      <c r="N4" s="186"/>
      <c r="O4" s="256"/>
    </row>
    <row r="5" spans="1:24" ht="15.75" customHeight="1" x14ac:dyDescent="0.25">
      <c r="A5" s="184" t="s">
        <v>55</v>
      </c>
      <c r="B5" s="185"/>
      <c r="C5" s="185"/>
      <c r="D5" s="185"/>
      <c r="E5" s="185"/>
      <c r="F5" s="203" t="str">
        <f>'SET SP Sta.Mría'!F11</f>
        <v xml:space="preserve">Eficiencia </v>
      </c>
      <c r="G5" s="204"/>
      <c r="H5" s="204"/>
      <c r="I5" s="204"/>
      <c r="J5" s="204"/>
      <c r="K5" s="204"/>
      <c r="L5" s="204"/>
      <c r="M5" s="204"/>
      <c r="N5" s="204"/>
      <c r="O5" s="205"/>
    </row>
    <row r="6" spans="1:24" ht="17.25" customHeight="1" thickBot="1" x14ac:dyDescent="0.3">
      <c r="A6" s="189" t="s">
        <v>21</v>
      </c>
      <c r="B6" s="190"/>
      <c r="C6" s="190"/>
      <c r="D6" s="190"/>
      <c r="E6" s="190"/>
      <c r="F6" s="26" t="s">
        <v>94</v>
      </c>
      <c r="G6" s="191" t="str">
        <f>'SET SP Sta.Mría'!A11</f>
        <v>IN06</v>
      </c>
      <c r="H6" s="191"/>
      <c r="I6" s="191"/>
      <c r="J6" s="191"/>
      <c r="K6" s="191"/>
      <c r="L6" s="191"/>
      <c r="M6" s="191"/>
      <c r="N6" s="191"/>
      <c r="O6" s="260"/>
    </row>
    <row r="7" spans="1:24" ht="12.75" customHeight="1" x14ac:dyDescent="0.25">
      <c r="A7" s="194" t="s">
        <v>22</v>
      </c>
      <c r="B7" s="195"/>
      <c r="C7" s="195"/>
      <c r="D7" s="195"/>
      <c r="E7" s="198" t="s">
        <v>23</v>
      </c>
      <c r="F7" s="198" t="s">
        <v>24</v>
      </c>
      <c r="G7" s="198"/>
      <c r="H7" s="198" t="s">
        <v>25</v>
      </c>
      <c r="I7" s="198" t="s">
        <v>26</v>
      </c>
      <c r="J7" s="198" t="s">
        <v>27</v>
      </c>
      <c r="K7" s="198"/>
      <c r="L7" s="200" t="s">
        <v>28</v>
      </c>
      <c r="M7" s="200"/>
      <c r="N7" s="200"/>
      <c r="O7" s="201"/>
    </row>
    <row r="8" spans="1:24" ht="46.5" customHeight="1" x14ac:dyDescent="0.25">
      <c r="A8" s="196"/>
      <c r="B8" s="197"/>
      <c r="C8" s="197"/>
      <c r="D8" s="197"/>
      <c r="E8" s="199"/>
      <c r="F8" s="199"/>
      <c r="G8" s="199"/>
      <c r="H8" s="199"/>
      <c r="I8" s="199"/>
      <c r="J8" s="199"/>
      <c r="K8" s="199"/>
      <c r="L8" s="197" t="s">
        <v>29</v>
      </c>
      <c r="M8" s="197"/>
      <c r="N8" s="197" t="s">
        <v>30</v>
      </c>
      <c r="O8" s="202"/>
    </row>
    <row r="9" spans="1:24" ht="56.25" customHeight="1" thickBot="1" x14ac:dyDescent="0.3">
      <c r="A9" s="210" t="str">
        <f>'SET SP Sta.Mría'!$C11</f>
        <v xml:space="preserve">Medir el grado de cobertura en   la prestación del servicio de alcantarillado administrado  por Aguas del Huila. </v>
      </c>
      <c r="B9" s="211"/>
      <c r="C9" s="211"/>
      <c r="D9" s="211"/>
      <c r="E9" s="17" t="s">
        <v>35</v>
      </c>
      <c r="F9" s="211" t="str">
        <f>'SET SP Sta.Mría'!$D11</f>
        <v xml:space="preserve">(Número de Suscriptores servicio de alcantarillado  / Número de Domicilios) x 100%  </v>
      </c>
      <c r="G9" s="211"/>
      <c r="H9" s="22">
        <f>$O16</f>
        <v>1</v>
      </c>
      <c r="I9" s="15" t="str">
        <f>'SET SP Sta.Mría'!$E11</f>
        <v>Trimestral</v>
      </c>
      <c r="J9" s="212" t="s">
        <v>89</v>
      </c>
      <c r="K9" s="213"/>
      <c r="L9" s="213"/>
      <c r="M9" s="213"/>
      <c r="N9" s="213"/>
      <c r="O9" s="214"/>
    </row>
    <row r="10" spans="1:24" ht="13.5" customHeight="1" x14ac:dyDescent="0.25">
      <c r="A10" s="220" t="s">
        <v>38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2"/>
    </row>
    <row r="11" spans="1:24" ht="21.75" customHeight="1" thickBot="1" x14ac:dyDescent="0.3">
      <c r="A11" s="223"/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5"/>
    </row>
    <row r="12" spans="1:24" ht="15" customHeight="1" thickBot="1" x14ac:dyDescent="0.3">
      <c r="A12" s="269" t="s">
        <v>31</v>
      </c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1"/>
      <c r="V12" s="9"/>
      <c r="W12" s="7"/>
      <c r="X12" s="7"/>
    </row>
    <row r="13" spans="1:24" ht="16.5" customHeight="1" x14ac:dyDescent="0.25">
      <c r="A13" s="229" t="s">
        <v>273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1"/>
      <c r="V13" s="9"/>
      <c r="W13" s="10"/>
      <c r="X13" s="10"/>
    </row>
    <row r="14" spans="1:24" ht="16.5" customHeight="1" x14ac:dyDescent="0.25">
      <c r="A14" s="232" t="s">
        <v>32</v>
      </c>
      <c r="B14" s="233"/>
      <c r="C14" s="93" t="s">
        <v>8</v>
      </c>
      <c r="D14" s="93" t="s">
        <v>9</v>
      </c>
      <c r="E14" s="93" t="s">
        <v>10</v>
      </c>
      <c r="F14" s="93" t="s">
        <v>11</v>
      </c>
      <c r="G14" s="93" t="s">
        <v>12</v>
      </c>
      <c r="H14" s="93" t="s">
        <v>13</v>
      </c>
      <c r="I14" s="93" t="s">
        <v>14</v>
      </c>
      <c r="J14" s="93" t="s">
        <v>15</v>
      </c>
      <c r="K14" s="93" t="s">
        <v>16</v>
      </c>
      <c r="L14" s="93" t="s">
        <v>17</v>
      </c>
      <c r="M14" s="93" t="s">
        <v>18</v>
      </c>
      <c r="N14" s="93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40" t="s">
        <v>39</v>
      </c>
      <c r="B15" s="241"/>
      <c r="C15" s="124">
        <f t="shared" ref="C15:N15" si="0">$O$15</f>
        <v>0.92</v>
      </c>
      <c r="D15" s="124">
        <f t="shared" si="0"/>
        <v>0.92</v>
      </c>
      <c r="E15" s="124">
        <f t="shared" si="0"/>
        <v>0.92</v>
      </c>
      <c r="F15" s="124">
        <f t="shared" si="0"/>
        <v>0.92</v>
      </c>
      <c r="G15" s="124">
        <f t="shared" si="0"/>
        <v>0.92</v>
      </c>
      <c r="H15" s="124">
        <f t="shared" si="0"/>
        <v>0.92</v>
      </c>
      <c r="I15" s="124">
        <f t="shared" si="0"/>
        <v>0.92</v>
      </c>
      <c r="J15" s="124">
        <f t="shared" si="0"/>
        <v>0.92</v>
      </c>
      <c r="K15" s="124">
        <f t="shared" si="0"/>
        <v>0.92</v>
      </c>
      <c r="L15" s="124">
        <f t="shared" si="0"/>
        <v>0.92</v>
      </c>
      <c r="M15" s="124">
        <f t="shared" si="0"/>
        <v>0.92</v>
      </c>
      <c r="N15" s="124">
        <f t="shared" si="0"/>
        <v>0.92</v>
      </c>
      <c r="O15" s="130">
        <f>'SET SP Sta.Mría'!J11</f>
        <v>0.92</v>
      </c>
      <c r="V15" s="9"/>
      <c r="W15" s="10"/>
      <c r="X15" s="10"/>
    </row>
    <row r="16" spans="1:24" ht="17.25" customHeight="1" x14ac:dyDescent="0.25">
      <c r="A16" s="240" t="s">
        <v>272</v>
      </c>
      <c r="B16" s="241"/>
      <c r="C16" s="124">
        <f t="shared" ref="C16:N16" si="1">$O$16</f>
        <v>1</v>
      </c>
      <c r="D16" s="124">
        <f t="shared" si="1"/>
        <v>1</v>
      </c>
      <c r="E16" s="124">
        <f t="shared" si="1"/>
        <v>1</v>
      </c>
      <c r="F16" s="124">
        <f t="shared" si="1"/>
        <v>1</v>
      </c>
      <c r="G16" s="124">
        <f t="shared" si="1"/>
        <v>1</v>
      </c>
      <c r="H16" s="124">
        <f t="shared" si="1"/>
        <v>1</v>
      </c>
      <c r="I16" s="124">
        <f t="shared" si="1"/>
        <v>1</v>
      </c>
      <c r="J16" s="124">
        <f t="shared" si="1"/>
        <v>1</v>
      </c>
      <c r="K16" s="124">
        <f t="shared" si="1"/>
        <v>1</v>
      </c>
      <c r="L16" s="124">
        <f t="shared" si="1"/>
        <v>1</v>
      </c>
      <c r="M16" s="124">
        <f t="shared" si="1"/>
        <v>1</v>
      </c>
      <c r="N16" s="124">
        <f t="shared" si="1"/>
        <v>1</v>
      </c>
      <c r="O16" s="130">
        <f>'SET SP Sta.Mría'!K11</f>
        <v>1</v>
      </c>
      <c r="V16" s="9"/>
      <c r="W16" s="10"/>
      <c r="X16" s="10"/>
    </row>
    <row r="17" spans="1:24" ht="17.25" customHeight="1" x14ac:dyDescent="0.25">
      <c r="A17" s="244" t="s">
        <v>264</v>
      </c>
      <c r="B17" s="245"/>
      <c r="C17" s="12">
        <f t="shared" ref="C17:E17" si="2">IF((C19),C18/C19,"-")</f>
        <v>1.0218687872763419</v>
      </c>
      <c r="D17" s="12">
        <f t="shared" si="2"/>
        <v>1.0208540218470705</v>
      </c>
      <c r="E17" s="12">
        <f t="shared" si="2"/>
        <v>1.0208333333333333</v>
      </c>
      <c r="F17" s="12">
        <f>IF((F19),F18/F19,"-")</f>
        <v>1.0218253968253967</v>
      </c>
      <c r="G17" s="12">
        <f t="shared" ref="G17:O17" si="3">IF((G19),G18/G19,"-")</f>
        <v>1.0218253968253967</v>
      </c>
      <c r="H17" s="12">
        <f t="shared" si="3"/>
        <v>1.0217821782178218</v>
      </c>
      <c r="I17" s="12">
        <f t="shared" si="3"/>
        <v>1.0217391304347827</v>
      </c>
      <c r="J17" s="12">
        <f t="shared" si="3"/>
        <v>1.0215686274509803</v>
      </c>
      <c r="K17" s="12">
        <f t="shared" si="3"/>
        <v>1.0215264187866928</v>
      </c>
      <c r="L17" s="12">
        <f t="shared" si="3"/>
        <v>1.021505376344086</v>
      </c>
      <c r="M17" s="12">
        <f t="shared" si="3"/>
        <v>1.0224390243902439</v>
      </c>
      <c r="N17" s="12">
        <f t="shared" si="3"/>
        <v>1.0223953261927945</v>
      </c>
      <c r="O17" s="13">
        <f t="shared" si="3"/>
        <v>1.0216819973718791</v>
      </c>
      <c r="V17" s="9"/>
      <c r="W17" s="10"/>
      <c r="X17" s="10"/>
    </row>
    <row r="18" spans="1:24" ht="22.5" customHeight="1" x14ac:dyDescent="0.25">
      <c r="A18" s="246" t="s">
        <v>37</v>
      </c>
      <c r="B18" s="40" t="s">
        <v>260</v>
      </c>
      <c r="C18" s="23">
        <f>+'STA MARIA-18'!D$7</f>
        <v>1028</v>
      </c>
      <c r="D18" s="23">
        <f>+'STA MARIA-18'!E$7</f>
        <v>1028</v>
      </c>
      <c r="E18" s="23">
        <f>+'STA MARIA-18'!F$7</f>
        <v>1029</v>
      </c>
      <c r="F18" s="23">
        <f>+'STA MARIA-18'!G$7</f>
        <v>1030</v>
      </c>
      <c r="G18" s="23">
        <f>+'STA MARIA-18'!H$7</f>
        <v>1030</v>
      </c>
      <c r="H18" s="23">
        <f>+'STA MARIA-18'!I$7</f>
        <v>1032</v>
      </c>
      <c r="I18" s="23">
        <f>+'STA MARIA-18'!J$7</f>
        <v>1034</v>
      </c>
      <c r="J18" s="23">
        <f>+'STA MARIA-18'!K$7</f>
        <v>1042</v>
      </c>
      <c r="K18" s="23">
        <f>+'STA MARIA-18'!L$7</f>
        <v>1044</v>
      </c>
      <c r="L18" s="23">
        <f>+'STA MARIA-18'!M$7</f>
        <v>1045</v>
      </c>
      <c r="M18" s="23">
        <f>+'STA MARIA-18'!N$7</f>
        <v>1048</v>
      </c>
      <c r="N18" s="23">
        <f>+'STA MARIA-18'!O$7</f>
        <v>1050</v>
      </c>
      <c r="O18" s="24">
        <f>SUM(C18:N18)</f>
        <v>12440</v>
      </c>
      <c r="V18" s="9"/>
      <c r="W18" s="10"/>
      <c r="X18" s="10"/>
    </row>
    <row r="19" spans="1:24" ht="12.75" customHeight="1" x14ac:dyDescent="0.25">
      <c r="A19" s="246"/>
      <c r="B19" s="40" t="s">
        <v>137</v>
      </c>
      <c r="C19" s="23">
        <f>+'05'!C19</f>
        <v>1006</v>
      </c>
      <c r="D19" s="23">
        <f>+'05'!D19</f>
        <v>1007</v>
      </c>
      <c r="E19" s="23">
        <f>+'05'!E19</f>
        <v>1008</v>
      </c>
      <c r="F19" s="23">
        <f>+'05'!F19</f>
        <v>1008</v>
      </c>
      <c r="G19" s="23">
        <f>+'05'!G19</f>
        <v>1008</v>
      </c>
      <c r="H19" s="23">
        <f>+'05'!H19</f>
        <v>1010</v>
      </c>
      <c r="I19" s="23">
        <f>+'05'!I19</f>
        <v>1012</v>
      </c>
      <c r="J19" s="23">
        <f>+'05'!J19</f>
        <v>1020</v>
      </c>
      <c r="K19" s="23">
        <f>+'05'!K19</f>
        <v>1022</v>
      </c>
      <c r="L19" s="23">
        <f>+'05'!L19</f>
        <v>1023</v>
      </c>
      <c r="M19" s="23">
        <f>+'05'!M19</f>
        <v>1025</v>
      </c>
      <c r="N19" s="23">
        <f>+'05'!N19</f>
        <v>1027</v>
      </c>
      <c r="O19" s="24">
        <f>SUM(C19:N19)</f>
        <v>12176</v>
      </c>
      <c r="V19" s="9"/>
      <c r="W19" s="10"/>
      <c r="X19" s="10"/>
    </row>
    <row r="20" spans="1:24" ht="17.25" customHeight="1" x14ac:dyDescent="0.25">
      <c r="A20" s="246"/>
      <c r="B20" s="9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8" customHeight="1" thickBot="1" x14ac:dyDescent="0.3">
      <c r="A21" s="247"/>
      <c r="B21" s="94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248" t="s">
        <v>34</v>
      </c>
      <c r="B22" s="249"/>
      <c r="C22" s="250"/>
      <c r="D22" s="275" t="str">
        <f>'SET SP Sta.Mría'!$G11</f>
        <v>Entre 80% y 100%</v>
      </c>
      <c r="E22" s="276"/>
      <c r="F22" s="276"/>
      <c r="G22" s="277"/>
      <c r="H22" s="237" t="str">
        <f>'SET SP Sta.Mría'!$H11</f>
        <v>Entre 60% y 79%</v>
      </c>
      <c r="I22" s="238"/>
      <c r="J22" s="238"/>
      <c r="K22" s="239"/>
      <c r="L22" s="237" t="str">
        <f>'SET SP Sta.Mría'!$I11</f>
        <v>Menor al 59%</v>
      </c>
      <c r="M22" s="242"/>
      <c r="N22" s="242"/>
      <c r="O22" s="243"/>
      <c r="V22" s="9"/>
      <c r="W22" s="10"/>
      <c r="X22" s="10"/>
    </row>
    <row r="23" spans="1:24" ht="33" customHeight="1" thickBot="1" x14ac:dyDescent="0.3">
      <c r="A23" s="251"/>
      <c r="B23" s="252"/>
      <c r="C23" s="252"/>
      <c r="D23" s="253" t="s">
        <v>7</v>
      </c>
      <c r="E23" s="253"/>
      <c r="F23" s="253"/>
      <c r="G23" s="253"/>
      <c r="H23" s="254" t="s">
        <v>61</v>
      </c>
      <c r="I23" s="254"/>
      <c r="J23" s="254"/>
      <c r="K23" s="254"/>
      <c r="L23" s="215" t="s">
        <v>62</v>
      </c>
      <c r="M23" s="215"/>
      <c r="N23" s="215"/>
      <c r="O23" s="216"/>
      <c r="V23" s="9"/>
      <c r="W23" s="10"/>
      <c r="X23" s="10"/>
    </row>
    <row r="24" spans="1:24" ht="15.75" customHeight="1" thickBot="1" x14ac:dyDescent="0.3">
      <c r="A24" s="217" t="s">
        <v>36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9"/>
      <c r="V24" s="9"/>
      <c r="W24" s="10"/>
      <c r="X24" s="10"/>
    </row>
    <row r="25" spans="1:24" ht="264.75" customHeight="1" thickBot="1" x14ac:dyDescent="0.3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6"/>
      <c r="V25" s="9"/>
    </row>
    <row r="26" spans="1:24" ht="15" customHeight="1" x14ac:dyDescent="0.25">
      <c r="A26" s="206" t="s">
        <v>58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8" t="s">
        <v>60</v>
      </c>
      <c r="O26" s="209"/>
    </row>
    <row r="27" spans="1:24" ht="15" x14ac:dyDescent="0.25">
      <c r="A27" s="167" t="s">
        <v>285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9">
        <v>43101</v>
      </c>
      <c r="O27" s="170"/>
    </row>
    <row r="28" spans="1:24" ht="15" x14ac:dyDescent="0.25">
      <c r="A28" s="167" t="s">
        <v>285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9">
        <v>43132</v>
      </c>
      <c r="O28" s="170"/>
    </row>
    <row r="29" spans="1:24" ht="15" x14ac:dyDescent="0.25">
      <c r="A29" s="167" t="s">
        <v>285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9">
        <v>43160</v>
      </c>
      <c r="O29" s="170"/>
    </row>
    <row r="30" spans="1:24" ht="15" x14ac:dyDescent="0.25">
      <c r="A30" s="167" t="s">
        <v>285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9">
        <v>43191</v>
      </c>
      <c r="O30" s="170"/>
    </row>
    <row r="31" spans="1:24" ht="15" x14ac:dyDescent="0.25">
      <c r="A31" s="167" t="s">
        <v>285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9">
        <v>43221</v>
      </c>
      <c r="O31" s="170"/>
    </row>
    <row r="32" spans="1:24" ht="15" x14ac:dyDescent="0.25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9">
        <v>43252</v>
      </c>
      <c r="O32" s="170"/>
    </row>
    <row r="33" spans="1:17" ht="15" x14ac:dyDescent="0.25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9">
        <v>43282</v>
      </c>
      <c r="O33" s="170"/>
    </row>
    <row r="34" spans="1:17" ht="15" x14ac:dyDescent="0.25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9">
        <v>43313</v>
      </c>
      <c r="O34" s="170"/>
    </row>
    <row r="35" spans="1:17" ht="15" x14ac:dyDescent="0.25">
      <c r="A35" s="167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9">
        <v>43344</v>
      </c>
      <c r="O35" s="170"/>
    </row>
    <row r="36" spans="1:17" ht="15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9">
        <v>43374</v>
      </c>
      <c r="O36" s="170"/>
    </row>
    <row r="37" spans="1:17" ht="15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9">
        <v>43405</v>
      </c>
      <c r="O37" s="170"/>
    </row>
    <row r="38" spans="1:17" ht="15.75" thickBot="1" x14ac:dyDescent="0.3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9">
        <v>43435</v>
      </c>
      <c r="O38" s="170"/>
    </row>
    <row r="39" spans="1:17" ht="25.5" customHeight="1" x14ac:dyDescent="0.25">
      <c r="A39" s="206" t="s">
        <v>59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8" t="s">
        <v>60</v>
      </c>
      <c r="O39" s="209"/>
    </row>
    <row r="40" spans="1:17" ht="15" x14ac:dyDescent="0.25">
      <c r="A40" s="167" t="s">
        <v>286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9">
        <v>43101</v>
      </c>
      <c r="O40" s="170"/>
    </row>
    <row r="41" spans="1:17" ht="15" x14ac:dyDescent="0.25">
      <c r="A41" s="167" t="s">
        <v>286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9">
        <v>43132</v>
      </c>
      <c r="O41" s="170"/>
    </row>
    <row r="42" spans="1:17" ht="15" x14ac:dyDescent="0.25">
      <c r="A42" s="167" t="s">
        <v>286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9">
        <v>43160</v>
      </c>
      <c r="O42" s="170"/>
    </row>
    <row r="43" spans="1:17" ht="15" x14ac:dyDescent="0.25">
      <c r="A43" s="167" t="s">
        <v>286</v>
      </c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9">
        <v>43191</v>
      </c>
      <c r="O43" s="170"/>
    </row>
    <row r="44" spans="1:17" ht="15.75" thickBot="1" x14ac:dyDescent="0.3">
      <c r="A44" s="167" t="s">
        <v>286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9">
        <v>43221</v>
      </c>
      <c r="O44" s="170"/>
    </row>
    <row r="45" spans="1:17" ht="6" customHeight="1" x14ac:dyDescent="0.25">
      <c r="A45" s="255"/>
      <c r="B45" s="255"/>
      <c r="C45" s="255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5"/>
    </row>
    <row r="47" spans="1:17" ht="14.25" x14ac:dyDescent="0.2">
      <c r="Q47" s="49" t="s">
        <v>81</v>
      </c>
    </row>
    <row r="48" spans="1:17" ht="14.25" x14ac:dyDescent="0.2">
      <c r="Q48" s="49" t="s">
        <v>82</v>
      </c>
    </row>
    <row r="49" spans="17:17" ht="14.25" x14ac:dyDescent="0.2">
      <c r="Q49" s="49" t="s">
        <v>83</v>
      </c>
    </row>
    <row r="50" spans="17:17" ht="14.25" x14ac:dyDescent="0.2">
      <c r="Q50" s="49" t="s">
        <v>84</v>
      </c>
    </row>
    <row r="51" spans="17:17" ht="14.25" x14ac:dyDescent="0.2">
      <c r="Q51" s="49" t="s">
        <v>85</v>
      </c>
    </row>
    <row r="52" spans="17:17" ht="14.25" x14ac:dyDescent="0.2">
      <c r="Q52" s="49" t="s">
        <v>86</v>
      </c>
    </row>
    <row r="53" spans="17:17" ht="14.25" x14ac:dyDescent="0.2">
      <c r="Q53" s="49" t="s">
        <v>87</v>
      </c>
    </row>
    <row r="54" spans="17:17" ht="14.25" x14ac:dyDescent="0.2">
      <c r="Q54" s="49" t="s">
        <v>88</v>
      </c>
    </row>
    <row r="55" spans="17:17" ht="14.25" x14ac:dyDescent="0.2">
      <c r="Q55" s="49" t="s">
        <v>89</v>
      </c>
    </row>
    <row r="56" spans="17:17" ht="14.25" x14ac:dyDescent="0.2">
      <c r="Q56" s="49" t="s">
        <v>90</v>
      </c>
    </row>
    <row r="57" spans="17:17" ht="14.25" x14ac:dyDescent="0.2">
      <c r="Q57" s="49" t="s">
        <v>91</v>
      </c>
    </row>
    <row r="58" spans="17:17" ht="14.25" x14ac:dyDescent="0.2">
      <c r="Q58" s="49" t="s">
        <v>92</v>
      </c>
    </row>
    <row r="59" spans="17:17" ht="14.25" x14ac:dyDescent="0.2">
      <c r="Q59" s="49" t="s">
        <v>93</v>
      </c>
    </row>
    <row r="61" spans="17:17" x14ac:dyDescent="0.25">
      <c r="Q61" s="11">
        <v>0.92</v>
      </c>
    </row>
    <row r="62" spans="17:17" x14ac:dyDescent="0.25">
      <c r="Q62" s="11">
        <v>1</v>
      </c>
    </row>
  </sheetData>
  <mergeCells count="80">
    <mergeCell ref="A45:O45"/>
    <mergeCell ref="A4:E4"/>
    <mergeCell ref="F4:O4"/>
    <mergeCell ref="A1:C2"/>
    <mergeCell ref="D1:O1"/>
    <mergeCell ref="D2:O2"/>
    <mergeCell ref="A11:O11"/>
    <mergeCell ref="I7:I8"/>
    <mergeCell ref="A5:E5"/>
    <mergeCell ref="A3:E3"/>
    <mergeCell ref="F3:O3"/>
    <mergeCell ref="N8:O8"/>
    <mergeCell ref="F5:O5"/>
    <mergeCell ref="J7:K8"/>
    <mergeCell ref="L7:O7"/>
    <mergeCell ref="L8:M8"/>
    <mergeCell ref="A6:E6"/>
    <mergeCell ref="A7:D8"/>
    <mergeCell ref="E7:E8"/>
    <mergeCell ref="F7:G8"/>
    <mergeCell ref="H7:H8"/>
    <mergeCell ref="G6:O6"/>
    <mergeCell ref="A44:M44"/>
    <mergeCell ref="N44:O44"/>
    <mergeCell ref="A16:B16"/>
    <mergeCell ref="A17:B17"/>
    <mergeCell ref="A18:A21"/>
    <mergeCell ref="L22:O22"/>
    <mergeCell ref="D23:G23"/>
    <mergeCell ref="H23:K23"/>
    <mergeCell ref="L23:O23"/>
    <mergeCell ref="A24:O24"/>
    <mergeCell ref="A25:O25"/>
    <mergeCell ref="H22:K22"/>
    <mergeCell ref="A22:C23"/>
    <mergeCell ref="D22:G22"/>
    <mergeCell ref="A39:M39"/>
    <mergeCell ref="N39:O39"/>
    <mergeCell ref="A40:M40"/>
    <mergeCell ref="N40:O40"/>
    <mergeCell ref="J9:O9"/>
    <mergeCell ref="A26:M26"/>
    <mergeCell ref="N26:O26"/>
    <mergeCell ref="A15:B15"/>
    <mergeCell ref="A12:O12"/>
    <mergeCell ref="A13:O13"/>
    <mergeCell ref="A14:B14"/>
    <mergeCell ref="A9:D9"/>
    <mergeCell ref="F9:G9"/>
    <mergeCell ref="A10:O10"/>
    <mergeCell ref="A27:M27"/>
    <mergeCell ref="N27:O27"/>
    <mergeCell ref="A28:M28"/>
    <mergeCell ref="N28:O28"/>
    <mergeCell ref="A29:M29"/>
    <mergeCell ref="N29:O29"/>
    <mergeCell ref="A30:M30"/>
    <mergeCell ref="N30:O30"/>
    <mergeCell ref="A31:M31"/>
    <mergeCell ref="N31:O31"/>
    <mergeCell ref="A32:M32"/>
    <mergeCell ref="N32:O32"/>
    <mergeCell ref="A33:M33"/>
    <mergeCell ref="N33:O33"/>
    <mergeCell ref="A34:M34"/>
    <mergeCell ref="N34:O34"/>
    <mergeCell ref="A38:M38"/>
    <mergeCell ref="N38:O38"/>
    <mergeCell ref="A35:M35"/>
    <mergeCell ref="N35:O35"/>
    <mergeCell ref="A36:M36"/>
    <mergeCell ref="N36:O36"/>
    <mergeCell ref="A37:M37"/>
    <mergeCell ref="N37:O37"/>
    <mergeCell ref="A41:M41"/>
    <mergeCell ref="A42:M42"/>
    <mergeCell ref="A43:M43"/>
    <mergeCell ref="N41:O41"/>
    <mergeCell ref="N42:O42"/>
    <mergeCell ref="N43:O43"/>
  </mergeCells>
  <dataValidations count="1">
    <dataValidation type="list" allowBlank="1" showInputMessage="1" showErrorMessage="1" sqref="J9:O9">
      <formula1>$Q$47:$Q$59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9"/>
  <sheetViews>
    <sheetView topLeftCell="A25" zoomScaleSheetLayoutView="72" workbookViewId="0">
      <selection activeCell="A28" sqref="A28:M31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7.28515625" style="3" customWidth="1"/>
    <col min="17" max="18" width="7.28515625" style="3" hidden="1" customWidth="1"/>
    <col min="19" max="19" width="7.2851562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75"/>
      <c r="B1" s="176"/>
      <c r="C1" s="177"/>
      <c r="D1" s="171" t="s">
        <v>20</v>
      </c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2"/>
    </row>
    <row r="2" spans="1:24" ht="15.75" customHeight="1" thickBot="1" x14ac:dyDescent="0.3">
      <c r="A2" s="178"/>
      <c r="B2" s="179"/>
      <c r="C2" s="180"/>
      <c r="D2" s="173" t="s">
        <v>67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4"/>
    </row>
    <row r="3" spans="1:24" ht="13.5" customHeight="1" x14ac:dyDescent="0.25">
      <c r="A3" s="181" t="s">
        <v>0</v>
      </c>
      <c r="B3" s="182"/>
      <c r="C3" s="182"/>
      <c r="D3" s="182"/>
      <c r="E3" s="182"/>
      <c r="F3" s="182" t="str">
        <f>'SET SP Sta.Mría'!J3</f>
        <v>GESTIÓN DE SERVICIOS PÚBLICOS - SANTA MARÍA</v>
      </c>
      <c r="G3" s="182"/>
      <c r="H3" s="182"/>
      <c r="I3" s="182"/>
      <c r="J3" s="182"/>
      <c r="K3" s="182"/>
      <c r="L3" s="182"/>
      <c r="M3" s="182"/>
      <c r="N3" s="182"/>
      <c r="O3" s="183"/>
    </row>
    <row r="4" spans="1:24" ht="15.75" customHeight="1" x14ac:dyDescent="0.25">
      <c r="A4" s="184" t="s">
        <v>1</v>
      </c>
      <c r="B4" s="185"/>
      <c r="C4" s="185"/>
      <c r="D4" s="185"/>
      <c r="E4" s="185"/>
      <c r="F4" s="186" t="str">
        <f>'SET SP Sta.Mría'!$B12</f>
        <v xml:space="preserve">Cobertura   (Servicio de Aseo) </v>
      </c>
      <c r="G4" s="186"/>
      <c r="H4" s="186"/>
      <c r="I4" s="186"/>
      <c r="J4" s="186"/>
      <c r="K4" s="186"/>
      <c r="L4" s="186"/>
      <c r="M4" s="186"/>
      <c r="N4" s="186"/>
      <c r="O4" s="256"/>
    </row>
    <row r="5" spans="1:24" ht="15.75" customHeight="1" x14ac:dyDescent="0.25">
      <c r="A5" s="184" t="s">
        <v>55</v>
      </c>
      <c r="B5" s="185"/>
      <c r="C5" s="185"/>
      <c r="D5" s="185"/>
      <c r="E5" s="185"/>
      <c r="F5" s="203" t="str">
        <f>'SET SP Sta.Mría'!F12</f>
        <v xml:space="preserve">Eficiencia </v>
      </c>
      <c r="G5" s="204"/>
      <c r="H5" s="204"/>
      <c r="I5" s="204"/>
      <c r="J5" s="204"/>
      <c r="K5" s="204"/>
      <c r="L5" s="204"/>
      <c r="M5" s="204"/>
      <c r="N5" s="204"/>
      <c r="O5" s="205"/>
    </row>
    <row r="6" spans="1:24" ht="17.25" customHeight="1" thickBot="1" x14ac:dyDescent="0.3">
      <c r="A6" s="189" t="s">
        <v>21</v>
      </c>
      <c r="B6" s="190"/>
      <c r="C6" s="190"/>
      <c r="D6" s="190"/>
      <c r="E6" s="190"/>
      <c r="F6" s="26" t="s">
        <v>94</v>
      </c>
      <c r="G6" s="191" t="str">
        <f>'SET SP Sta.Mría'!A12</f>
        <v>IN07</v>
      </c>
      <c r="H6" s="191"/>
      <c r="I6" s="191"/>
      <c r="J6" s="191"/>
      <c r="K6" s="191"/>
      <c r="L6" s="191"/>
      <c r="M6" s="191"/>
      <c r="N6" s="191"/>
      <c r="O6" s="260"/>
    </row>
    <row r="7" spans="1:24" ht="12.75" customHeight="1" x14ac:dyDescent="0.25">
      <c r="A7" s="194" t="s">
        <v>22</v>
      </c>
      <c r="B7" s="195"/>
      <c r="C7" s="195"/>
      <c r="D7" s="195"/>
      <c r="E7" s="198" t="s">
        <v>23</v>
      </c>
      <c r="F7" s="198" t="s">
        <v>24</v>
      </c>
      <c r="G7" s="198"/>
      <c r="H7" s="198" t="s">
        <v>25</v>
      </c>
      <c r="I7" s="198" t="s">
        <v>26</v>
      </c>
      <c r="J7" s="198" t="s">
        <v>27</v>
      </c>
      <c r="K7" s="198"/>
      <c r="L7" s="200" t="s">
        <v>28</v>
      </c>
      <c r="M7" s="200"/>
      <c r="N7" s="200"/>
      <c r="O7" s="201"/>
    </row>
    <row r="8" spans="1:24" ht="46.5" customHeight="1" x14ac:dyDescent="0.25">
      <c r="A8" s="196"/>
      <c r="B8" s="197"/>
      <c r="C8" s="197"/>
      <c r="D8" s="197"/>
      <c r="E8" s="199"/>
      <c r="F8" s="199"/>
      <c r="G8" s="199"/>
      <c r="H8" s="199"/>
      <c r="I8" s="199"/>
      <c r="J8" s="199"/>
      <c r="K8" s="199"/>
      <c r="L8" s="197" t="s">
        <v>29</v>
      </c>
      <c r="M8" s="197"/>
      <c r="N8" s="197" t="s">
        <v>30</v>
      </c>
      <c r="O8" s="202"/>
    </row>
    <row r="9" spans="1:24" ht="47.25" customHeight="1" thickBot="1" x14ac:dyDescent="0.3">
      <c r="A9" s="210" t="str">
        <f>'SET SP Sta.Mría'!$C12</f>
        <v xml:space="preserve">Medir el grado de cobertura en   la prestación del servicio de aseo administrado  por Aguas del Huila. </v>
      </c>
      <c r="B9" s="211"/>
      <c r="C9" s="211"/>
      <c r="D9" s="211"/>
      <c r="E9" s="17" t="s">
        <v>35</v>
      </c>
      <c r="F9" s="211" t="str">
        <f>'SET SP Sta.Mría'!$D12</f>
        <v xml:space="preserve">(Residuos sólidos recolectada / Residuos sólidos producidos) x 100%           </v>
      </c>
      <c r="G9" s="211"/>
      <c r="H9" s="22">
        <f>$O16</f>
        <v>1</v>
      </c>
      <c r="I9" s="16" t="str">
        <f>'SET SP Sta.Mría'!$E12</f>
        <v>Trimestral</v>
      </c>
      <c r="J9" s="212" t="s">
        <v>89</v>
      </c>
      <c r="K9" s="213"/>
      <c r="L9" s="213"/>
      <c r="M9" s="213"/>
      <c r="N9" s="213"/>
      <c r="O9" s="214"/>
    </row>
    <row r="10" spans="1:24" ht="13.5" customHeight="1" x14ac:dyDescent="0.25">
      <c r="A10" s="220" t="s">
        <v>38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2"/>
    </row>
    <row r="11" spans="1:24" ht="18.75" customHeight="1" thickBot="1" x14ac:dyDescent="0.3">
      <c r="A11" s="223"/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5"/>
    </row>
    <row r="12" spans="1:24" ht="15" customHeight="1" thickBot="1" x14ac:dyDescent="0.3">
      <c r="A12" s="269" t="s">
        <v>31</v>
      </c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1"/>
      <c r="V12" s="9"/>
      <c r="W12" s="8"/>
      <c r="X12" s="8"/>
    </row>
    <row r="13" spans="1:24" ht="16.5" customHeight="1" x14ac:dyDescent="0.25">
      <c r="A13" s="229" t="s">
        <v>273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1"/>
      <c r="V13" s="9"/>
      <c r="W13" s="10"/>
      <c r="X13" s="10"/>
    </row>
    <row r="14" spans="1:24" ht="16.5" customHeight="1" x14ac:dyDescent="0.25">
      <c r="A14" s="232" t="s">
        <v>32</v>
      </c>
      <c r="B14" s="233"/>
      <c r="C14" s="93" t="s">
        <v>8</v>
      </c>
      <c r="D14" s="93" t="s">
        <v>9</v>
      </c>
      <c r="E14" s="93" t="s">
        <v>10</v>
      </c>
      <c r="F14" s="93" t="s">
        <v>11</v>
      </c>
      <c r="G14" s="93" t="s">
        <v>12</v>
      </c>
      <c r="H14" s="93" t="s">
        <v>13</v>
      </c>
      <c r="I14" s="93" t="s">
        <v>14</v>
      </c>
      <c r="J14" s="93" t="s">
        <v>15</v>
      </c>
      <c r="K14" s="93" t="s">
        <v>16</v>
      </c>
      <c r="L14" s="93" t="s">
        <v>17</v>
      </c>
      <c r="M14" s="93" t="s">
        <v>18</v>
      </c>
      <c r="N14" s="93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40" t="s">
        <v>39</v>
      </c>
      <c r="B15" s="241"/>
      <c r="C15" s="126">
        <f t="shared" ref="C15:N15" si="0">$O$15</f>
        <v>0.92</v>
      </c>
      <c r="D15" s="126">
        <f t="shared" si="0"/>
        <v>0.92</v>
      </c>
      <c r="E15" s="126">
        <f t="shared" si="0"/>
        <v>0.92</v>
      </c>
      <c r="F15" s="126">
        <f t="shared" si="0"/>
        <v>0.92</v>
      </c>
      <c r="G15" s="126">
        <f t="shared" si="0"/>
        <v>0.92</v>
      </c>
      <c r="H15" s="126">
        <f t="shared" si="0"/>
        <v>0.92</v>
      </c>
      <c r="I15" s="126">
        <f t="shared" si="0"/>
        <v>0.92</v>
      </c>
      <c r="J15" s="126">
        <f t="shared" si="0"/>
        <v>0.92</v>
      </c>
      <c r="K15" s="126">
        <f t="shared" si="0"/>
        <v>0.92</v>
      </c>
      <c r="L15" s="126">
        <f t="shared" si="0"/>
        <v>0.92</v>
      </c>
      <c r="M15" s="126">
        <f t="shared" si="0"/>
        <v>0.92</v>
      </c>
      <c r="N15" s="126">
        <f t="shared" si="0"/>
        <v>0.92</v>
      </c>
      <c r="O15" s="131">
        <f>'SET SP Sta.Mría'!J12</f>
        <v>0.92</v>
      </c>
      <c r="V15" s="9"/>
      <c r="W15" s="10"/>
      <c r="X15" s="10"/>
    </row>
    <row r="16" spans="1:24" ht="17.25" customHeight="1" x14ac:dyDescent="0.25">
      <c r="A16" s="240" t="s">
        <v>272</v>
      </c>
      <c r="B16" s="241"/>
      <c r="C16" s="126">
        <f t="shared" ref="C16:N16" si="1">$O$16</f>
        <v>1</v>
      </c>
      <c r="D16" s="126">
        <f t="shared" si="1"/>
        <v>1</v>
      </c>
      <c r="E16" s="126">
        <f t="shared" si="1"/>
        <v>1</v>
      </c>
      <c r="F16" s="126">
        <f t="shared" si="1"/>
        <v>1</v>
      </c>
      <c r="G16" s="126">
        <f t="shared" si="1"/>
        <v>1</v>
      </c>
      <c r="H16" s="126">
        <f t="shared" si="1"/>
        <v>1</v>
      </c>
      <c r="I16" s="126">
        <f t="shared" si="1"/>
        <v>1</v>
      </c>
      <c r="J16" s="126">
        <f t="shared" si="1"/>
        <v>1</v>
      </c>
      <c r="K16" s="126">
        <f t="shared" si="1"/>
        <v>1</v>
      </c>
      <c r="L16" s="126">
        <f t="shared" si="1"/>
        <v>1</v>
      </c>
      <c r="M16" s="126">
        <f t="shared" si="1"/>
        <v>1</v>
      </c>
      <c r="N16" s="126">
        <f t="shared" si="1"/>
        <v>1</v>
      </c>
      <c r="O16" s="131">
        <f>'SET SP Sta.Mría'!K12</f>
        <v>1</v>
      </c>
      <c r="V16" s="9"/>
      <c r="W16" s="10"/>
      <c r="X16" s="10"/>
    </row>
    <row r="17" spans="1:24" ht="17.25" customHeight="1" x14ac:dyDescent="0.25">
      <c r="A17" s="244" t="s">
        <v>264</v>
      </c>
      <c r="B17" s="245"/>
      <c r="C17" s="71" t="e">
        <f>IF(ISNUMBER(C19),C18/C19,"-")</f>
        <v>#DIV/0!</v>
      </c>
      <c r="D17" s="71" t="e">
        <f t="shared" ref="D17:O17" si="2">IF(ISNUMBER(D19),D18/D19,"-")</f>
        <v>#DIV/0!</v>
      </c>
      <c r="E17" s="71" t="e">
        <f t="shared" si="2"/>
        <v>#DIV/0!</v>
      </c>
      <c r="F17" s="71" t="e">
        <f t="shared" si="2"/>
        <v>#DIV/0!</v>
      </c>
      <c r="G17" s="71" t="e">
        <f t="shared" si="2"/>
        <v>#DIV/0!</v>
      </c>
      <c r="H17" s="71" t="e">
        <f t="shared" si="2"/>
        <v>#DIV/0!</v>
      </c>
      <c r="I17" s="71" t="e">
        <f t="shared" si="2"/>
        <v>#DIV/0!</v>
      </c>
      <c r="J17" s="71" t="e">
        <f t="shared" si="2"/>
        <v>#DIV/0!</v>
      </c>
      <c r="K17" s="71" t="e">
        <f t="shared" si="2"/>
        <v>#DIV/0!</v>
      </c>
      <c r="L17" s="71" t="e">
        <f t="shared" si="2"/>
        <v>#DIV/0!</v>
      </c>
      <c r="M17" s="71" t="e">
        <f t="shared" si="2"/>
        <v>#DIV/0!</v>
      </c>
      <c r="N17" s="71" t="e">
        <f t="shared" si="2"/>
        <v>#DIV/0!</v>
      </c>
      <c r="O17" s="72" t="e">
        <f t="shared" si="2"/>
        <v>#DIV/0!</v>
      </c>
      <c r="V17" s="9"/>
      <c r="W17" s="10"/>
      <c r="X17" s="10"/>
    </row>
    <row r="18" spans="1:24" ht="17.25" customHeight="1" x14ac:dyDescent="0.25">
      <c r="A18" s="246" t="s">
        <v>37</v>
      </c>
      <c r="B18" s="40" t="s">
        <v>138</v>
      </c>
      <c r="C18" s="70">
        <f>'STA MARIA-18'!D$36</f>
        <v>0</v>
      </c>
      <c r="D18" s="70">
        <f>'STA MARIA-18'!E$36</f>
        <v>0</v>
      </c>
      <c r="E18" s="70">
        <f>'STA MARIA-18'!F$36</f>
        <v>0</v>
      </c>
      <c r="F18" s="70">
        <f>'STA MARIA-18'!G$36</f>
        <v>0</v>
      </c>
      <c r="G18" s="70">
        <f>'STA MARIA-18'!H$36</f>
        <v>0</v>
      </c>
      <c r="H18" s="70">
        <f>'STA MARIA-18'!I$36</f>
        <v>0</v>
      </c>
      <c r="I18" s="70">
        <f>'STA MARIA-18'!J$36</f>
        <v>0</v>
      </c>
      <c r="J18" s="70">
        <f>'STA MARIA-18'!K$36</f>
        <v>0</v>
      </c>
      <c r="K18" s="70">
        <f>'STA MARIA-18'!L$36</f>
        <v>0</v>
      </c>
      <c r="L18" s="70">
        <f>'STA MARIA-18'!M$36</f>
        <v>0</v>
      </c>
      <c r="M18" s="70">
        <f>'STA MARIA-18'!N$36</f>
        <v>0</v>
      </c>
      <c r="N18" s="70">
        <f>'STA MARIA-18'!O$36</f>
        <v>0</v>
      </c>
      <c r="O18" s="19">
        <f>SUM(C18:N18)</f>
        <v>0</v>
      </c>
      <c r="V18" s="9"/>
      <c r="W18" s="10"/>
      <c r="X18" s="10"/>
    </row>
    <row r="19" spans="1:24" ht="17.25" customHeight="1" x14ac:dyDescent="0.25">
      <c r="A19" s="246"/>
      <c r="B19" s="40" t="s">
        <v>139</v>
      </c>
      <c r="C19" s="70">
        <f>IF(('STA MARIA-18'!D55),C18/'STA MARIA-18'!D55,"0")</f>
        <v>0</v>
      </c>
      <c r="D19" s="70">
        <f>IF(('STA MARIA-18'!E55),D18/'STA MARIA-18'!E55,"0")</f>
        <v>0</v>
      </c>
      <c r="E19" s="70">
        <f>IF(('STA MARIA-18'!F55),E18/'STA MARIA-18'!F55,"0")</f>
        <v>0</v>
      </c>
      <c r="F19" s="70">
        <f>IF(('STA MARIA-18'!G55),F18/'STA MARIA-18'!G55,"0")</f>
        <v>0</v>
      </c>
      <c r="G19" s="70">
        <f>IF(('STA MARIA-18'!H55),G18/'STA MARIA-18'!H55,"0")</f>
        <v>0</v>
      </c>
      <c r="H19" s="70">
        <f>IF(('STA MARIA-18'!I55),H18/'STA MARIA-18'!I55,"0")</f>
        <v>0</v>
      </c>
      <c r="I19" s="70">
        <f>IF(('STA MARIA-18'!J55),I18/'STA MARIA-18'!J55,"0")</f>
        <v>0</v>
      </c>
      <c r="J19" s="70">
        <f>IF(('STA MARIA-18'!K55),J18/'STA MARIA-18'!K55,"0")</f>
        <v>0</v>
      </c>
      <c r="K19" s="70">
        <f>IF(('STA MARIA-18'!L55),K18/'STA MARIA-18'!L55,"0")</f>
        <v>0</v>
      </c>
      <c r="L19" s="70">
        <f>IF(('STA MARIA-18'!M55),L18/'STA MARIA-18'!M55,"0")</f>
        <v>0</v>
      </c>
      <c r="M19" s="70">
        <f>IF(('STA MARIA-18'!N55),M18/'STA MARIA-18'!N55,"0")</f>
        <v>0</v>
      </c>
      <c r="N19" s="70">
        <f>IF(('STA MARIA-18'!O55),N18/'STA MARIA-18'!O55,"0")</f>
        <v>0</v>
      </c>
      <c r="O19" s="19">
        <f>SUM(C19:N19)</f>
        <v>0</v>
      </c>
      <c r="V19" s="9"/>
      <c r="W19" s="10"/>
      <c r="X19" s="10"/>
    </row>
    <row r="20" spans="1:24" ht="15" customHeight="1" x14ac:dyDescent="0.25">
      <c r="A20" s="278"/>
      <c r="B20" s="54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21"/>
      <c r="V20" s="9"/>
      <c r="W20" s="10"/>
      <c r="X20" s="10"/>
    </row>
    <row r="21" spans="1:24" ht="13.5" customHeight="1" thickBot="1" x14ac:dyDescent="0.3">
      <c r="A21" s="247"/>
      <c r="B21" s="94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248" t="s">
        <v>34</v>
      </c>
      <c r="B22" s="249"/>
      <c r="C22" s="250"/>
      <c r="D22" s="237" t="str">
        <f>'SET SP Sta.Mría'!$G12</f>
        <v>Entre 80% y 100%</v>
      </c>
      <c r="E22" s="238"/>
      <c r="F22" s="238"/>
      <c r="G22" s="239"/>
      <c r="H22" s="237" t="str">
        <f>'SET SP Sta.Mría'!$H12</f>
        <v>Entre 60% y 79%</v>
      </c>
      <c r="I22" s="238"/>
      <c r="J22" s="238"/>
      <c r="K22" s="239"/>
      <c r="L22" s="237" t="str">
        <f>'SET SP Sta.Mría'!$I12</f>
        <v>Menor al 59%</v>
      </c>
      <c r="M22" s="242"/>
      <c r="N22" s="242"/>
      <c r="O22" s="243"/>
      <c r="V22" s="9"/>
      <c r="W22" s="10"/>
      <c r="X22" s="10"/>
    </row>
    <row r="23" spans="1:24" ht="33" customHeight="1" thickBot="1" x14ac:dyDescent="0.3">
      <c r="A23" s="251"/>
      <c r="B23" s="252"/>
      <c r="C23" s="252"/>
      <c r="D23" s="253" t="s">
        <v>7</v>
      </c>
      <c r="E23" s="253"/>
      <c r="F23" s="253"/>
      <c r="G23" s="253"/>
      <c r="H23" s="254" t="s">
        <v>61</v>
      </c>
      <c r="I23" s="254"/>
      <c r="J23" s="254"/>
      <c r="K23" s="254"/>
      <c r="L23" s="215" t="s">
        <v>62</v>
      </c>
      <c r="M23" s="215"/>
      <c r="N23" s="215"/>
      <c r="O23" s="216"/>
      <c r="V23" s="9"/>
      <c r="W23" s="10"/>
      <c r="X23" s="10"/>
    </row>
    <row r="24" spans="1:24" ht="15.75" customHeight="1" thickBot="1" x14ac:dyDescent="0.3">
      <c r="A24" s="217" t="s">
        <v>36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9"/>
      <c r="V24" s="9"/>
      <c r="W24" s="10"/>
      <c r="X24" s="10"/>
    </row>
    <row r="25" spans="1:24" ht="264.75" customHeight="1" thickBot="1" x14ac:dyDescent="0.3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6"/>
      <c r="V25" s="9"/>
    </row>
    <row r="26" spans="1:24" ht="15" customHeight="1" x14ac:dyDescent="0.25">
      <c r="A26" s="206" t="s">
        <v>58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8" t="s">
        <v>60</v>
      </c>
      <c r="O26" s="209"/>
    </row>
    <row r="27" spans="1:24" ht="15" customHeight="1" x14ac:dyDescent="0.25">
      <c r="A27" s="167" t="s">
        <v>269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9">
        <v>43101</v>
      </c>
      <c r="O27" s="170"/>
    </row>
    <row r="28" spans="1:24" ht="15" customHeight="1" x14ac:dyDescent="0.25">
      <c r="A28" s="167"/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9">
        <v>43132</v>
      </c>
      <c r="O28" s="170"/>
    </row>
    <row r="29" spans="1:24" ht="15" customHeight="1" x14ac:dyDescent="0.25">
      <c r="A29" s="167"/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9">
        <v>43160</v>
      </c>
      <c r="O29" s="170"/>
    </row>
    <row r="30" spans="1:24" ht="15" customHeight="1" x14ac:dyDescent="0.25">
      <c r="A30" s="167"/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9">
        <v>43191</v>
      </c>
      <c r="O30" s="170"/>
    </row>
    <row r="31" spans="1:24" ht="15" customHeight="1" x14ac:dyDescent="0.25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9">
        <v>43221</v>
      </c>
      <c r="O31" s="170"/>
    </row>
    <row r="32" spans="1:24" ht="15" customHeight="1" x14ac:dyDescent="0.25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9">
        <v>43252</v>
      </c>
      <c r="O32" s="170"/>
    </row>
    <row r="33" spans="1:17" ht="15" customHeight="1" x14ac:dyDescent="0.25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9">
        <v>43282</v>
      </c>
      <c r="O33" s="170"/>
    </row>
    <row r="34" spans="1:17" ht="15" customHeight="1" x14ac:dyDescent="0.25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9">
        <v>43313</v>
      </c>
      <c r="O34" s="170"/>
    </row>
    <row r="35" spans="1:17" ht="15" customHeight="1" x14ac:dyDescent="0.25">
      <c r="A35" s="167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9">
        <v>43344</v>
      </c>
      <c r="O35" s="170"/>
    </row>
    <row r="36" spans="1:17" ht="15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9">
        <v>43374</v>
      </c>
      <c r="O36" s="170"/>
    </row>
    <row r="37" spans="1:17" ht="15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9">
        <v>43405</v>
      </c>
      <c r="O37" s="170"/>
    </row>
    <row r="38" spans="1:17" ht="15" customHeight="1" thickBot="1" x14ac:dyDescent="0.3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9">
        <v>43435</v>
      </c>
      <c r="O38" s="170"/>
    </row>
    <row r="39" spans="1:17" ht="25.5" customHeight="1" x14ac:dyDescent="0.25">
      <c r="A39" s="206" t="s">
        <v>59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8" t="s">
        <v>60</v>
      </c>
      <c r="O39" s="209"/>
    </row>
    <row r="40" spans="1:17" ht="15" x14ac:dyDescent="0.25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272"/>
      <c r="O40" s="273"/>
    </row>
    <row r="41" spans="1:17" ht="15.75" thickBot="1" x14ac:dyDescent="0.3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8"/>
      <c r="O41" s="274"/>
    </row>
    <row r="42" spans="1:17" ht="6" customHeight="1" x14ac:dyDescent="0.25">
      <c r="A42" s="255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</row>
    <row r="44" spans="1:17" ht="14.25" x14ac:dyDescent="0.2">
      <c r="Q44" s="49" t="s">
        <v>81</v>
      </c>
    </row>
    <row r="45" spans="1:17" ht="14.25" x14ac:dyDescent="0.2">
      <c r="Q45" s="49" t="s">
        <v>82</v>
      </c>
    </row>
    <row r="46" spans="1:17" ht="14.25" x14ac:dyDescent="0.2">
      <c r="Q46" s="49" t="s">
        <v>83</v>
      </c>
    </row>
    <row r="47" spans="1:17" ht="14.25" x14ac:dyDescent="0.2">
      <c r="Q47" s="49" t="s">
        <v>84</v>
      </c>
    </row>
    <row r="48" spans="1:17" ht="14.25" x14ac:dyDescent="0.2">
      <c r="Q48" s="49" t="s">
        <v>85</v>
      </c>
    </row>
    <row r="49" spans="17:17" ht="14.25" x14ac:dyDescent="0.2">
      <c r="Q49" s="49" t="s">
        <v>86</v>
      </c>
    </row>
    <row r="50" spans="17:17" ht="14.25" x14ac:dyDescent="0.2">
      <c r="Q50" s="49" t="s">
        <v>87</v>
      </c>
    </row>
    <row r="51" spans="17:17" ht="14.25" x14ac:dyDescent="0.2">
      <c r="Q51" s="49" t="s">
        <v>88</v>
      </c>
    </row>
    <row r="52" spans="17:17" ht="14.25" x14ac:dyDescent="0.2">
      <c r="Q52" s="49" t="s">
        <v>89</v>
      </c>
    </row>
    <row r="53" spans="17:17" ht="14.25" x14ac:dyDescent="0.2">
      <c r="Q53" s="49" t="s">
        <v>90</v>
      </c>
    </row>
    <row r="54" spans="17:17" ht="14.25" x14ac:dyDescent="0.2">
      <c r="Q54" s="49" t="s">
        <v>91</v>
      </c>
    </row>
    <row r="55" spans="17:17" ht="14.25" x14ac:dyDescent="0.2">
      <c r="Q55" s="49" t="s">
        <v>92</v>
      </c>
    </row>
    <row r="56" spans="17:17" ht="14.25" x14ac:dyDescent="0.2">
      <c r="Q56" s="49" t="s">
        <v>93</v>
      </c>
    </row>
    <row r="58" spans="17:17" x14ac:dyDescent="0.25">
      <c r="Q58" s="25">
        <v>0.92</v>
      </c>
    </row>
    <row r="59" spans="17:17" x14ac:dyDescent="0.25">
      <c r="Q59" s="25">
        <v>1</v>
      </c>
    </row>
  </sheetData>
  <mergeCells count="74">
    <mergeCell ref="A42:O42"/>
    <mergeCell ref="N8:O8"/>
    <mergeCell ref="A9:D9"/>
    <mergeCell ref="F9:G9"/>
    <mergeCell ref="L22:O22"/>
    <mergeCell ref="D23:G23"/>
    <mergeCell ref="H23:K23"/>
    <mergeCell ref="H22:K22"/>
    <mergeCell ref="A22:C23"/>
    <mergeCell ref="D22:G22"/>
    <mergeCell ref="I7:I8"/>
    <mergeCell ref="A39:M39"/>
    <mergeCell ref="N39:O39"/>
    <mergeCell ref="A40:M40"/>
    <mergeCell ref="N40:O40"/>
    <mergeCell ref="A26:M26"/>
    <mergeCell ref="A5:E5"/>
    <mergeCell ref="A16:B16"/>
    <mergeCell ref="A17:B17"/>
    <mergeCell ref="A18:A21"/>
    <mergeCell ref="A15:B15"/>
    <mergeCell ref="F5:O5"/>
    <mergeCell ref="A41:M41"/>
    <mergeCell ref="N41:O41"/>
    <mergeCell ref="D1:O1"/>
    <mergeCell ref="D2:O2"/>
    <mergeCell ref="A3:E3"/>
    <mergeCell ref="F3:O3"/>
    <mergeCell ref="A4:E4"/>
    <mergeCell ref="F4:O4"/>
    <mergeCell ref="A1:C2"/>
    <mergeCell ref="G6:O6"/>
    <mergeCell ref="A6:E6"/>
    <mergeCell ref="A7:D8"/>
    <mergeCell ref="E7:E8"/>
    <mergeCell ref="F7:G8"/>
    <mergeCell ref="H7:H8"/>
    <mergeCell ref="A30:M30"/>
    <mergeCell ref="N30:O30"/>
    <mergeCell ref="A31:M31"/>
    <mergeCell ref="N31:O31"/>
    <mergeCell ref="N26:O26"/>
    <mergeCell ref="A27:M27"/>
    <mergeCell ref="N27:O27"/>
    <mergeCell ref="A28:M28"/>
    <mergeCell ref="N28:O28"/>
    <mergeCell ref="A32:M32"/>
    <mergeCell ref="J7:K8"/>
    <mergeCell ref="L7:O7"/>
    <mergeCell ref="L8:M8"/>
    <mergeCell ref="A10:O10"/>
    <mergeCell ref="J9:O9"/>
    <mergeCell ref="A25:O25"/>
    <mergeCell ref="L23:O23"/>
    <mergeCell ref="A24:O24"/>
    <mergeCell ref="A11:O11"/>
    <mergeCell ref="A12:O12"/>
    <mergeCell ref="A13:O13"/>
    <mergeCell ref="A14:B14"/>
    <mergeCell ref="N32:O32"/>
    <mergeCell ref="A29:M29"/>
    <mergeCell ref="N29:O29"/>
    <mergeCell ref="A33:M33"/>
    <mergeCell ref="N33:O33"/>
    <mergeCell ref="A34:M34"/>
    <mergeCell ref="N34:O34"/>
    <mergeCell ref="A38:M38"/>
    <mergeCell ref="N38:O38"/>
    <mergeCell ref="A35:M35"/>
    <mergeCell ref="N35:O35"/>
    <mergeCell ref="A36:M36"/>
    <mergeCell ref="N36:O36"/>
    <mergeCell ref="A37:M37"/>
    <mergeCell ref="N37:O37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63"/>
  <sheetViews>
    <sheetView topLeftCell="A31" zoomScaleSheetLayoutView="72" workbookViewId="0">
      <selection activeCell="A44" sqref="A44:M44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8" style="3" customWidth="1"/>
    <col min="17" max="18" width="8" style="3" hidden="1" customWidth="1"/>
    <col min="19" max="19" width="8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75"/>
      <c r="B1" s="176"/>
      <c r="C1" s="177"/>
      <c r="D1" s="171" t="s">
        <v>20</v>
      </c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2"/>
    </row>
    <row r="2" spans="1:24" ht="15.75" customHeight="1" thickBot="1" x14ac:dyDescent="0.3">
      <c r="A2" s="178"/>
      <c r="B2" s="179"/>
      <c r="C2" s="180"/>
      <c r="D2" s="173" t="s">
        <v>67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4"/>
    </row>
    <row r="3" spans="1:24" ht="13.5" customHeight="1" x14ac:dyDescent="0.25">
      <c r="A3" s="181" t="s">
        <v>0</v>
      </c>
      <c r="B3" s="182"/>
      <c r="C3" s="182"/>
      <c r="D3" s="182"/>
      <c r="E3" s="182"/>
      <c r="F3" s="182" t="str">
        <f>'SET SP Sta.Mría'!J3</f>
        <v>GESTIÓN DE SERVICIOS PÚBLICOS - SANTA MARÍA</v>
      </c>
      <c r="G3" s="182"/>
      <c r="H3" s="182"/>
      <c r="I3" s="182"/>
      <c r="J3" s="182"/>
      <c r="K3" s="182"/>
      <c r="L3" s="182"/>
      <c r="M3" s="182"/>
      <c r="N3" s="182"/>
      <c r="O3" s="183"/>
    </row>
    <row r="4" spans="1:24" ht="15.75" customHeight="1" x14ac:dyDescent="0.25">
      <c r="A4" s="184" t="s">
        <v>1</v>
      </c>
      <c r="B4" s="185"/>
      <c r="C4" s="185"/>
      <c r="D4" s="185"/>
      <c r="E4" s="185"/>
      <c r="F4" s="186" t="str">
        <f>'SET SP Sta.Mría'!$B13</f>
        <v>Cobertura de medición</v>
      </c>
      <c r="G4" s="186"/>
      <c r="H4" s="186"/>
      <c r="I4" s="186"/>
      <c r="J4" s="186"/>
      <c r="K4" s="186"/>
      <c r="L4" s="186"/>
      <c r="M4" s="186"/>
      <c r="N4" s="186"/>
      <c r="O4" s="256"/>
    </row>
    <row r="5" spans="1:24" ht="15.75" customHeight="1" x14ac:dyDescent="0.25">
      <c r="A5" s="184" t="s">
        <v>55</v>
      </c>
      <c r="B5" s="185"/>
      <c r="C5" s="185"/>
      <c r="D5" s="185"/>
      <c r="E5" s="185"/>
      <c r="F5" s="203" t="str">
        <f>'SET SP Sta.Mría'!F13</f>
        <v xml:space="preserve">Eficiencia </v>
      </c>
      <c r="G5" s="204"/>
      <c r="H5" s="204"/>
      <c r="I5" s="204"/>
      <c r="J5" s="204"/>
      <c r="K5" s="204"/>
      <c r="L5" s="204"/>
      <c r="M5" s="204"/>
      <c r="N5" s="204"/>
      <c r="O5" s="205"/>
    </row>
    <row r="6" spans="1:24" ht="17.25" customHeight="1" thickBot="1" x14ac:dyDescent="0.3">
      <c r="A6" s="189" t="s">
        <v>21</v>
      </c>
      <c r="B6" s="190"/>
      <c r="C6" s="190"/>
      <c r="D6" s="190"/>
      <c r="E6" s="190"/>
      <c r="F6" s="26" t="s">
        <v>94</v>
      </c>
      <c r="G6" s="191" t="str">
        <f>'SET SP Sta.Mría'!A13</f>
        <v>IN08</v>
      </c>
      <c r="H6" s="191"/>
      <c r="I6" s="191"/>
      <c r="J6" s="191"/>
      <c r="K6" s="191"/>
      <c r="L6" s="191"/>
      <c r="M6" s="191"/>
      <c r="N6" s="191"/>
      <c r="O6" s="260"/>
    </row>
    <row r="7" spans="1:24" ht="12.75" customHeight="1" x14ac:dyDescent="0.25">
      <c r="A7" s="194" t="s">
        <v>22</v>
      </c>
      <c r="B7" s="195"/>
      <c r="C7" s="195"/>
      <c r="D7" s="195"/>
      <c r="E7" s="198" t="s">
        <v>23</v>
      </c>
      <c r="F7" s="198" t="s">
        <v>24</v>
      </c>
      <c r="G7" s="198"/>
      <c r="H7" s="198" t="s">
        <v>25</v>
      </c>
      <c r="I7" s="198" t="s">
        <v>26</v>
      </c>
      <c r="J7" s="198" t="s">
        <v>27</v>
      </c>
      <c r="K7" s="198"/>
      <c r="L7" s="200" t="s">
        <v>28</v>
      </c>
      <c r="M7" s="200"/>
      <c r="N7" s="200"/>
      <c r="O7" s="201"/>
    </row>
    <row r="8" spans="1:24" ht="46.5" customHeight="1" x14ac:dyDescent="0.25">
      <c r="A8" s="196"/>
      <c r="B8" s="197"/>
      <c r="C8" s="197"/>
      <c r="D8" s="197"/>
      <c r="E8" s="199"/>
      <c r="F8" s="199"/>
      <c r="G8" s="199"/>
      <c r="H8" s="199"/>
      <c r="I8" s="199"/>
      <c r="J8" s="199"/>
      <c r="K8" s="199"/>
      <c r="L8" s="197" t="s">
        <v>29</v>
      </c>
      <c r="M8" s="197"/>
      <c r="N8" s="197" t="s">
        <v>30</v>
      </c>
      <c r="O8" s="202"/>
    </row>
    <row r="9" spans="1:24" ht="58.5" customHeight="1" thickBot="1" x14ac:dyDescent="0.3">
      <c r="A9" s="210" t="str">
        <f>'SET SP Sta.Mría'!$C13</f>
        <v>Lograr que los suscriptores del servicio de acueducto de Aguas del Huila, tengan su instrumento medición.</v>
      </c>
      <c r="B9" s="211"/>
      <c r="C9" s="211"/>
      <c r="D9" s="211"/>
      <c r="E9" s="17" t="s">
        <v>35</v>
      </c>
      <c r="F9" s="280" t="str">
        <f>'SET SP Sta.Mría'!$D13</f>
        <v xml:space="preserve">(Número de Medidores en servicio / Número de Suscriptores) x 100%          </v>
      </c>
      <c r="G9" s="281"/>
      <c r="H9" s="22">
        <f>$O16</f>
        <v>0.95</v>
      </c>
      <c r="I9" s="28" t="str">
        <f>'SET SP Sta.Mría'!$E13</f>
        <v>Trimestral</v>
      </c>
      <c r="J9" s="212" t="s">
        <v>89</v>
      </c>
      <c r="K9" s="213"/>
      <c r="L9" s="213"/>
      <c r="M9" s="213"/>
      <c r="N9" s="213"/>
      <c r="O9" s="214"/>
    </row>
    <row r="10" spans="1:24" ht="13.5" customHeight="1" x14ac:dyDescent="0.25">
      <c r="A10" s="220" t="s">
        <v>38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2"/>
    </row>
    <row r="11" spans="1:24" ht="24.75" customHeight="1" thickBot="1" x14ac:dyDescent="0.3">
      <c r="A11" s="223"/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5"/>
    </row>
    <row r="12" spans="1:24" ht="15" customHeight="1" thickBot="1" x14ac:dyDescent="0.3">
      <c r="A12" s="269" t="s">
        <v>31</v>
      </c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1"/>
      <c r="V12" s="9"/>
      <c r="W12" s="27"/>
      <c r="X12" s="27"/>
    </row>
    <row r="13" spans="1:24" ht="16.5" customHeight="1" x14ac:dyDescent="0.25">
      <c r="A13" s="229" t="s">
        <v>273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1"/>
      <c r="V13" s="9"/>
      <c r="W13" s="10"/>
      <c r="X13" s="10"/>
    </row>
    <row r="14" spans="1:24" ht="16.5" customHeight="1" x14ac:dyDescent="0.25">
      <c r="A14" s="232" t="s">
        <v>32</v>
      </c>
      <c r="B14" s="233"/>
      <c r="C14" s="93" t="s">
        <v>8</v>
      </c>
      <c r="D14" s="93" t="s">
        <v>9</v>
      </c>
      <c r="E14" s="93" t="s">
        <v>10</v>
      </c>
      <c r="F14" s="93" t="s">
        <v>11</v>
      </c>
      <c r="G14" s="93" t="s">
        <v>12</v>
      </c>
      <c r="H14" s="93" t="s">
        <v>13</v>
      </c>
      <c r="I14" s="93" t="s">
        <v>14</v>
      </c>
      <c r="J14" s="93" t="s">
        <v>15</v>
      </c>
      <c r="K14" s="93" t="s">
        <v>16</v>
      </c>
      <c r="L14" s="93" t="s">
        <v>17</v>
      </c>
      <c r="M14" s="93" t="s">
        <v>18</v>
      </c>
      <c r="N14" s="93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40" t="s">
        <v>39</v>
      </c>
      <c r="B15" s="241"/>
      <c r="C15" s="126">
        <f t="shared" ref="C15:N15" si="0">$O$15</f>
        <v>0.93</v>
      </c>
      <c r="D15" s="126">
        <f t="shared" si="0"/>
        <v>0.93</v>
      </c>
      <c r="E15" s="126">
        <f t="shared" si="0"/>
        <v>0.93</v>
      </c>
      <c r="F15" s="126">
        <f t="shared" si="0"/>
        <v>0.93</v>
      </c>
      <c r="G15" s="126">
        <f t="shared" si="0"/>
        <v>0.93</v>
      </c>
      <c r="H15" s="126">
        <f t="shared" si="0"/>
        <v>0.93</v>
      </c>
      <c r="I15" s="126">
        <f t="shared" si="0"/>
        <v>0.93</v>
      </c>
      <c r="J15" s="126">
        <f t="shared" si="0"/>
        <v>0.93</v>
      </c>
      <c r="K15" s="126">
        <f t="shared" si="0"/>
        <v>0.93</v>
      </c>
      <c r="L15" s="126">
        <f t="shared" si="0"/>
        <v>0.93</v>
      </c>
      <c r="M15" s="126">
        <f t="shared" si="0"/>
        <v>0.93</v>
      </c>
      <c r="N15" s="126">
        <f t="shared" si="0"/>
        <v>0.93</v>
      </c>
      <c r="O15" s="130">
        <f>'SET SP Sta.Mría'!J13</f>
        <v>0.93</v>
      </c>
      <c r="V15" s="9"/>
      <c r="W15" s="10"/>
      <c r="X15" s="10"/>
    </row>
    <row r="16" spans="1:24" ht="17.25" customHeight="1" x14ac:dyDescent="0.25">
      <c r="A16" s="240" t="s">
        <v>272</v>
      </c>
      <c r="B16" s="241"/>
      <c r="C16" s="126">
        <f t="shared" ref="C16:N16" si="1">$O$16</f>
        <v>0.95</v>
      </c>
      <c r="D16" s="126">
        <f t="shared" si="1"/>
        <v>0.95</v>
      </c>
      <c r="E16" s="126">
        <f t="shared" si="1"/>
        <v>0.95</v>
      </c>
      <c r="F16" s="126">
        <f t="shared" si="1"/>
        <v>0.95</v>
      </c>
      <c r="G16" s="126">
        <f t="shared" si="1"/>
        <v>0.95</v>
      </c>
      <c r="H16" s="126">
        <f t="shared" si="1"/>
        <v>0.95</v>
      </c>
      <c r="I16" s="126">
        <f t="shared" si="1"/>
        <v>0.95</v>
      </c>
      <c r="J16" s="126">
        <f t="shared" si="1"/>
        <v>0.95</v>
      </c>
      <c r="K16" s="126">
        <f t="shared" si="1"/>
        <v>0.95</v>
      </c>
      <c r="L16" s="126">
        <f t="shared" si="1"/>
        <v>0.95</v>
      </c>
      <c r="M16" s="126">
        <f t="shared" si="1"/>
        <v>0.95</v>
      </c>
      <c r="N16" s="126">
        <f t="shared" si="1"/>
        <v>0.95</v>
      </c>
      <c r="O16" s="130">
        <f>'SET SP Sta.Mría'!K13</f>
        <v>0.95</v>
      </c>
      <c r="V16" s="9"/>
      <c r="W16" s="10"/>
      <c r="X16" s="10"/>
    </row>
    <row r="17" spans="1:24" ht="17.25" customHeight="1" x14ac:dyDescent="0.25">
      <c r="A17" s="244" t="s">
        <v>264</v>
      </c>
      <c r="B17" s="245"/>
      <c r="C17" s="12">
        <f t="shared" ref="C17:E17" si="2">IF((C19),C18/C19,"-")</f>
        <v>0.93252769385699896</v>
      </c>
      <c r="D17" s="12">
        <f t="shared" si="2"/>
        <v>0.93863179074446679</v>
      </c>
      <c r="E17" s="12">
        <f t="shared" si="2"/>
        <v>0.94170854271356785</v>
      </c>
      <c r="F17" s="12">
        <f>IF((F19),F18/F19,"-")</f>
        <v>0.94572864321608041</v>
      </c>
      <c r="G17" s="12">
        <f t="shared" ref="G17:O17" si="3">IF((G19),G18/G19,"-")</f>
        <v>0.94974874371859297</v>
      </c>
      <c r="H17" s="12">
        <f t="shared" si="3"/>
        <v>0.94984954864593785</v>
      </c>
      <c r="I17" s="12">
        <f t="shared" si="3"/>
        <v>0.94194194194194192</v>
      </c>
      <c r="J17" s="12">
        <f t="shared" si="3"/>
        <v>0.94935451837140017</v>
      </c>
      <c r="K17" s="12">
        <f t="shared" si="3"/>
        <v>0.95242814667988107</v>
      </c>
      <c r="L17" s="12">
        <f t="shared" si="3"/>
        <v>0.95841584158415838</v>
      </c>
      <c r="M17" s="12">
        <f t="shared" si="3"/>
        <v>0.9555335968379447</v>
      </c>
      <c r="N17" s="12">
        <f t="shared" si="3"/>
        <v>0.95069033530571989</v>
      </c>
      <c r="O17" s="13">
        <f t="shared" si="3"/>
        <v>0.94725457570715477</v>
      </c>
      <c r="V17" s="9"/>
      <c r="W17" s="10"/>
      <c r="X17" s="10"/>
    </row>
    <row r="18" spans="1:24" ht="16.5" customHeight="1" x14ac:dyDescent="0.25">
      <c r="A18" s="246" t="s">
        <v>37</v>
      </c>
      <c r="B18" s="40" t="s">
        <v>140</v>
      </c>
      <c r="C18" s="23">
        <f>+'STA MARIA-18'!D38</f>
        <v>926</v>
      </c>
      <c r="D18" s="23">
        <f>+'STA MARIA-18'!E38</f>
        <v>933</v>
      </c>
      <c r="E18" s="23">
        <f>+'STA MARIA-18'!F38</f>
        <v>937</v>
      </c>
      <c r="F18" s="23">
        <f>+'STA MARIA-18'!G38</f>
        <v>941</v>
      </c>
      <c r="G18" s="23">
        <f>+'STA MARIA-18'!H38</f>
        <v>945</v>
      </c>
      <c r="H18" s="23">
        <f>+'STA MARIA-18'!I38</f>
        <v>947</v>
      </c>
      <c r="I18" s="23">
        <f>+'STA MARIA-18'!J38</f>
        <v>941</v>
      </c>
      <c r="J18" s="23">
        <f>+'STA MARIA-18'!K38</f>
        <v>956</v>
      </c>
      <c r="K18" s="23">
        <f>+'STA MARIA-18'!L38</f>
        <v>961</v>
      </c>
      <c r="L18" s="23">
        <f>+'STA MARIA-18'!M38</f>
        <v>968</v>
      </c>
      <c r="M18" s="23">
        <f>+'STA MARIA-18'!N38</f>
        <v>967</v>
      </c>
      <c r="N18" s="23">
        <f>+'STA MARIA-18'!O38</f>
        <v>964</v>
      </c>
      <c r="O18" s="24">
        <f>SUM(C18:N18)</f>
        <v>11386</v>
      </c>
      <c r="V18" s="9"/>
      <c r="W18" s="10"/>
      <c r="X18" s="10"/>
    </row>
    <row r="19" spans="1:24" ht="14.25" customHeight="1" x14ac:dyDescent="0.25">
      <c r="A19" s="246"/>
      <c r="B19" s="40" t="s">
        <v>136</v>
      </c>
      <c r="C19" s="23">
        <f>+'05'!C18</f>
        <v>993</v>
      </c>
      <c r="D19" s="23">
        <f>+'05'!D18</f>
        <v>994</v>
      </c>
      <c r="E19" s="23">
        <f>+'05'!E18</f>
        <v>995</v>
      </c>
      <c r="F19" s="23">
        <f>+'05'!F18</f>
        <v>995</v>
      </c>
      <c r="G19" s="23">
        <f>+'05'!G18</f>
        <v>995</v>
      </c>
      <c r="H19" s="23">
        <f>+'05'!H18</f>
        <v>997</v>
      </c>
      <c r="I19" s="23">
        <f>+'05'!I18</f>
        <v>999</v>
      </c>
      <c r="J19" s="23">
        <f>+'05'!J18</f>
        <v>1007</v>
      </c>
      <c r="K19" s="23">
        <f>+'05'!K18</f>
        <v>1009</v>
      </c>
      <c r="L19" s="23">
        <f>+'05'!L18</f>
        <v>1010</v>
      </c>
      <c r="M19" s="23">
        <f>+'05'!M18</f>
        <v>1012</v>
      </c>
      <c r="N19" s="23">
        <f>+'05'!N18</f>
        <v>1014</v>
      </c>
      <c r="O19" s="24">
        <f>SUM(C19:N19)</f>
        <v>12020</v>
      </c>
      <c r="V19" s="9"/>
      <c r="W19" s="10"/>
      <c r="X19" s="10"/>
    </row>
    <row r="20" spans="1:24" ht="14.25" customHeight="1" x14ac:dyDescent="0.25">
      <c r="A20" s="278"/>
      <c r="B20" s="54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21"/>
      <c r="V20" s="9"/>
      <c r="W20" s="10"/>
      <c r="X20" s="10"/>
    </row>
    <row r="21" spans="1:24" ht="14.25" customHeight="1" thickBot="1" x14ac:dyDescent="0.3">
      <c r="A21" s="247"/>
      <c r="B21" s="94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248" t="s">
        <v>34</v>
      </c>
      <c r="B22" s="249"/>
      <c r="C22" s="250"/>
      <c r="D22" s="237" t="str">
        <f>'SET SP Sta.Mría'!$G13</f>
        <v>Entre 80% y 100%</v>
      </c>
      <c r="E22" s="238"/>
      <c r="F22" s="238"/>
      <c r="G22" s="239"/>
      <c r="H22" s="237" t="str">
        <f>'SET SP Sta.Mría'!$H13</f>
        <v>Entre 60% y 79%</v>
      </c>
      <c r="I22" s="238"/>
      <c r="J22" s="238"/>
      <c r="K22" s="239"/>
      <c r="L22" s="237" t="str">
        <f>'SET SP Sta.Mría'!$I13</f>
        <v>Menor al 59%</v>
      </c>
      <c r="M22" s="242"/>
      <c r="N22" s="242"/>
      <c r="O22" s="243"/>
      <c r="V22" s="9"/>
      <c r="W22" s="10"/>
      <c r="X22" s="10"/>
    </row>
    <row r="23" spans="1:24" ht="33" customHeight="1" thickBot="1" x14ac:dyDescent="0.3">
      <c r="A23" s="251"/>
      <c r="B23" s="252"/>
      <c r="C23" s="252"/>
      <c r="D23" s="253" t="s">
        <v>7</v>
      </c>
      <c r="E23" s="253"/>
      <c r="F23" s="253"/>
      <c r="G23" s="253"/>
      <c r="H23" s="254" t="s">
        <v>61</v>
      </c>
      <c r="I23" s="254"/>
      <c r="J23" s="254"/>
      <c r="K23" s="254"/>
      <c r="L23" s="215" t="s">
        <v>62</v>
      </c>
      <c r="M23" s="215"/>
      <c r="N23" s="215"/>
      <c r="O23" s="216"/>
      <c r="V23" s="9"/>
      <c r="W23" s="10"/>
      <c r="X23" s="10"/>
    </row>
    <row r="24" spans="1:24" ht="15.75" customHeight="1" thickBot="1" x14ac:dyDescent="0.3">
      <c r="A24" s="217" t="s">
        <v>36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9"/>
      <c r="V24" s="9"/>
      <c r="W24" s="10"/>
      <c r="X24" s="10"/>
    </row>
    <row r="25" spans="1:24" ht="264.75" customHeight="1" thickBot="1" x14ac:dyDescent="0.3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6"/>
      <c r="V25" s="9"/>
    </row>
    <row r="26" spans="1:24" ht="15" customHeight="1" x14ac:dyDescent="0.25">
      <c r="A26" s="206" t="s">
        <v>58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8" t="s">
        <v>60</v>
      </c>
      <c r="O26" s="209"/>
    </row>
    <row r="27" spans="1:24" ht="15" customHeight="1" x14ac:dyDescent="0.25">
      <c r="A27" s="167" t="s">
        <v>287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9">
        <v>43101</v>
      </c>
      <c r="O27" s="170"/>
    </row>
    <row r="28" spans="1:24" ht="15" customHeight="1" x14ac:dyDescent="0.25">
      <c r="A28" s="167" t="s">
        <v>288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9">
        <v>43132</v>
      </c>
      <c r="O28" s="170"/>
    </row>
    <row r="29" spans="1:24" ht="15" customHeight="1" x14ac:dyDescent="0.25">
      <c r="A29" s="167" t="s">
        <v>288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9">
        <v>43160</v>
      </c>
      <c r="O29" s="170"/>
    </row>
    <row r="30" spans="1:24" ht="15" customHeight="1" x14ac:dyDescent="0.25">
      <c r="A30" s="167" t="s">
        <v>288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9">
        <v>43191</v>
      </c>
      <c r="O30" s="170"/>
    </row>
    <row r="31" spans="1:24" ht="15" customHeight="1" x14ac:dyDescent="0.25">
      <c r="A31" s="167" t="s">
        <v>289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9">
        <v>43221</v>
      </c>
      <c r="O31" s="170"/>
    </row>
    <row r="32" spans="1:24" ht="15" customHeight="1" x14ac:dyDescent="0.25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9">
        <v>43252</v>
      </c>
      <c r="O32" s="170"/>
    </row>
    <row r="33" spans="1:17" ht="15" customHeight="1" x14ac:dyDescent="0.25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9">
        <v>43282</v>
      </c>
      <c r="O33" s="170"/>
    </row>
    <row r="34" spans="1:17" ht="15" customHeight="1" x14ac:dyDescent="0.25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9">
        <v>43313</v>
      </c>
      <c r="O34" s="170"/>
    </row>
    <row r="35" spans="1:17" ht="15" customHeight="1" x14ac:dyDescent="0.25">
      <c r="A35" s="167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9">
        <v>43344</v>
      </c>
      <c r="O35" s="170"/>
    </row>
    <row r="36" spans="1:17" ht="15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9">
        <v>43374</v>
      </c>
      <c r="O36" s="170"/>
    </row>
    <row r="37" spans="1:17" ht="15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9">
        <v>43405</v>
      </c>
      <c r="O37" s="170"/>
    </row>
    <row r="38" spans="1:17" ht="15" customHeight="1" thickBot="1" x14ac:dyDescent="0.3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9">
        <v>43435</v>
      </c>
      <c r="O38" s="170"/>
    </row>
    <row r="39" spans="1:17" ht="25.5" customHeight="1" x14ac:dyDescent="0.25">
      <c r="A39" s="283" t="s">
        <v>59</v>
      </c>
      <c r="B39" s="284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08" t="s">
        <v>60</v>
      </c>
      <c r="O39" s="209"/>
    </row>
    <row r="40" spans="1:17" ht="15" x14ac:dyDescent="0.25">
      <c r="A40" s="168" t="s">
        <v>290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279">
        <v>43101</v>
      </c>
      <c r="O40" s="170"/>
    </row>
    <row r="41" spans="1:17" ht="15" x14ac:dyDescent="0.25">
      <c r="A41" s="168" t="s">
        <v>291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279">
        <v>43132</v>
      </c>
      <c r="O41" s="170"/>
    </row>
    <row r="42" spans="1:17" ht="15" x14ac:dyDescent="0.25">
      <c r="A42" s="168" t="s">
        <v>291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279">
        <v>43160</v>
      </c>
      <c r="O42" s="170"/>
    </row>
    <row r="43" spans="1:17" ht="15" x14ac:dyDescent="0.25">
      <c r="A43" s="168" t="s">
        <v>291</v>
      </c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279">
        <v>43191</v>
      </c>
      <c r="O43" s="170"/>
    </row>
    <row r="44" spans="1:17" ht="15" x14ac:dyDescent="0.25">
      <c r="A44" s="168" t="s">
        <v>290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279">
        <v>43221</v>
      </c>
      <c r="O44" s="170"/>
    </row>
    <row r="45" spans="1:17" ht="15.75" thickBot="1" x14ac:dyDescent="0.3">
      <c r="A45" s="168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285"/>
      <c r="O45" s="274"/>
    </row>
    <row r="46" spans="1:17" ht="3.75" customHeight="1" x14ac:dyDescent="0.25">
      <c r="A46" s="282"/>
      <c r="B46" s="282"/>
      <c r="C46" s="282"/>
      <c r="D46" s="282"/>
      <c r="E46" s="282"/>
      <c r="F46" s="282"/>
      <c r="G46" s="282"/>
      <c r="H46" s="282"/>
      <c r="I46" s="282"/>
      <c r="J46" s="282"/>
      <c r="K46" s="282"/>
      <c r="L46" s="282"/>
      <c r="M46" s="282"/>
      <c r="N46" s="255"/>
      <c r="O46" s="255"/>
    </row>
    <row r="48" spans="1:17" ht="14.25" x14ac:dyDescent="0.2">
      <c r="Q48" s="49" t="s">
        <v>81</v>
      </c>
    </row>
    <row r="49" spans="17:17" ht="14.25" x14ac:dyDescent="0.2">
      <c r="Q49" s="49" t="s">
        <v>82</v>
      </c>
    </row>
    <row r="50" spans="17:17" ht="14.25" x14ac:dyDescent="0.2">
      <c r="Q50" s="49" t="s">
        <v>83</v>
      </c>
    </row>
    <row r="51" spans="17:17" ht="14.25" x14ac:dyDescent="0.2">
      <c r="Q51" s="49" t="s">
        <v>84</v>
      </c>
    </row>
    <row r="52" spans="17:17" ht="14.25" x14ac:dyDescent="0.2">
      <c r="Q52" s="49" t="s">
        <v>85</v>
      </c>
    </row>
    <row r="53" spans="17:17" ht="14.25" x14ac:dyDescent="0.2">
      <c r="Q53" s="49" t="s">
        <v>86</v>
      </c>
    </row>
    <row r="54" spans="17:17" ht="14.25" x14ac:dyDescent="0.2">
      <c r="Q54" s="49" t="s">
        <v>87</v>
      </c>
    </row>
    <row r="55" spans="17:17" ht="14.25" x14ac:dyDescent="0.2">
      <c r="Q55" s="49" t="s">
        <v>88</v>
      </c>
    </row>
    <row r="56" spans="17:17" ht="14.25" x14ac:dyDescent="0.2">
      <c r="Q56" s="49" t="s">
        <v>89</v>
      </c>
    </row>
    <row r="57" spans="17:17" ht="14.25" x14ac:dyDescent="0.2">
      <c r="Q57" s="49" t="s">
        <v>90</v>
      </c>
    </row>
    <row r="58" spans="17:17" ht="14.25" x14ac:dyDescent="0.2">
      <c r="Q58" s="49" t="s">
        <v>91</v>
      </c>
    </row>
    <row r="59" spans="17:17" ht="14.25" x14ac:dyDescent="0.2">
      <c r="Q59" s="49" t="s">
        <v>92</v>
      </c>
    </row>
    <row r="60" spans="17:17" ht="14.25" x14ac:dyDescent="0.2">
      <c r="Q60" s="49" t="s">
        <v>93</v>
      </c>
    </row>
    <row r="62" spans="17:17" x14ac:dyDescent="0.25">
      <c r="Q62" s="25">
        <v>0.88</v>
      </c>
    </row>
    <row r="63" spans="17:17" x14ac:dyDescent="0.25">
      <c r="Q63" s="25">
        <v>0.9</v>
      </c>
    </row>
  </sheetData>
  <mergeCells count="82">
    <mergeCell ref="A46:O46"/>
    <mergeCell ref="A25:O25"/>
    <mergeCell ref="H22:K22"/>
    <mergeCell ref="A22:C23"/>
    <mergeCell ref="D22:G22"/>
    <mergeCell ref="A24:O24"/>
    <mergeCell ref="A39:M39"/>
    <mergeCell ref="N39:O39"/>
    <mergeCell ref="A44:M44"/>
    <mergeCell ref="N44:O44"/>
    <mergeCell ref="A45:M45"/>
    <mergeCell ref="N45:O45"/>
    <mergeCell ref="A26:M26"/>
    <mergeCell ref="N26:O26"/>
    <mergeCell ref="A27:M27"/>
    <mergeCell ref="N27:O27"/>
    <mergeCell ref="A5:E5"/>
    <mergeCell ref="A16:B16"/>
    <mergeCell ref="A17:B17"/>
    <mergeCell ref="A18:A21"/>
    <mergeCell ref="A15:B15"/>
    <mergeCell ref="A10:O10"/>
    <mergeCell ref="J9:O9"/>
    <mergeCell ref="F5:O5"/>
    <mergeCell ref="A6:E6"/>
    <mergeCell ref="G6:O6"/>
    <mergeCell ref="A7:D8"/>
    <mergeCell ref="E7:E8"/>
    <mergeCell ref="F7:G8"/>
    <mergeCell ref="A12:O12"/>
    <mergeCell ref="A13:O13"/>
    <mergeCell ref="N8:O8"/>
    <mergeCell ref="A9:D9"/>
    <mergeCell ref="F9:G9"/>
    <mergeCell ref="L22:O22"/>
    <mergeCell ref="D23:G23"/>
    <mergeCell ref="H23:K23"/>
    <mergeCell ref="A11:O11"/>
    <mergeCell ref="A14:B14"/>
    <mergeCell ref="L23:O23"/>
    <mergeCell ref="I7:I8"/>
    <mergeCell ref="J7:K8"/>
    <mergeCell ref="L7:O7"/>
    <mergeCell ref="L8:M8"/>
    <mergeCell ref="H7:H8"/>
    <mergeCell ref="D1:O1"/>
    <mergeCell ref="D2:O2"/>
    <mergeCell ref="A3:E3"/>
    <mergeCell ref="F3:O3"/>
    <mergeCell ref="A4:E4"/>
    <mergeCell ref="F4:O4"/>
    <mergeCell ref="A1:C2"/>
    <mergeCell ref="A28:M28"/>
    <mergeCell ref="N28:O28"/>
    <mergeCell ref="A29:M29"/>
    <mergeCell ref="N29:O29"/>
    <mergeCell ref="A30:M30"/>
    <mergeCell ref="N30:O30"/>
    <mergeCell ref="A31:M31"/>
    <mergeCell ref="N31:O31"/>
    <mergeCell ref="A32:M32"/>
    <mergeCell ref="N32:O32"/>
    <mergeCell ref="A33:M33"/>
    <mergeCell ref="N33:O33"/>
    <mergeCell ref="A37:M37"/>
    <mergeCell ref="N37:O37"/>
    <mergeCell ref="A38:M38"/>
    <mergeCell ref="N38:O38"/>
    <mergeCell ref="A34:M34"/>
    <mergeCell ref="N34:O34"/>
    <mergeCell ref="A35:M35"/>
    <mergeCell ref="N35:O35"/>
    <mergeCell ref="A36:M36"/>
    <mergeCell ref="N36:O36"/>
    <mergeCell ref="A40:M40"/>
    <mergeCell ref="A41:M41"/>
    <mergeCell ref="A42:M42"/>
    <mergeCell ref="A43:M43"/>
    <mergeCell ref="N40:O40"/>
    <mergeCell ref="N41:O41"/>
    <mergeCell ref="N42:O42"/>
    <mergeCell ref="N43:O43"/>
  </mergeCells>
  <dataValidations count="1">
    <dataValidation type="list" allowBlank="1" showInputMessage="1" showErrorMessage="1" sqref="J9:O9">
      <formula1>$Q$48:$Q$60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SET SP Sta.Mría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STA MARIA-18</vt:lpstr>
      <vt:lpstr>'STA MARIA-18'!Área_de_impresión</vt:lpstr>
      <vt:lpstr>'SET SP Sta.Mría'!Títulos_a_imprimir</vt:lpstr>
    </vt:vector>
  </TitlesOfParts>
  <Company>Windows XP Colossus Edition 2 Reloaded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Colossus User</dc:creator>
  <cp:lastModifiedBy>wendy dayana</cp:lastModifiedBy>
  <cp:lastPrinted>2015-08-17T02:32:09Z</cp:lastPrinted>
  <dcterms:created xsi:type="dcterms:W3CDTF">2010-03-16T20:37:23Z</dcterms:created>
  <dcterms:modified xsi:type="dcterms:W3CDTF">2019-03-06T22:37:22Z</dcterms:modified>
</cp:coreProperties>
</file>